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rcadiso365-my.sharepoint.com/personal/charles_gravelle_arcadis-canada_com/Documents/D/Cullaton Lake Mine 2018/"/>
    </mc:Choice>
  </mc:AlternateContent>
  <xr:revisionPtr revIDLastSave="36" documentId="8_{3603599F-7BF3-41FB-9C6B-D96BAFE1E160}" xr6:coauthVersionLast="33" xr6:coauthVersionMax="33" xr10:uidLastSave="{D5725AF9-CBC1-46AB-BBC7-D46AE5458EF4}"/>
  <bookViews>
    <workbookView xWindow="0" yWindow="0" windowWidth="12600" windowHeight="5588" xr2:uid="{00000000-000D-0000-FFFF-FFFF00000000}"/>
  </bookViews>
  <sheets>
    <sheet name="100 Years DCF" sheetId="6" r:id="rId1"/>
    <sheet name="Monitoring Calcs" sheetId="2" r:id="rId2"/>
    <sheet name="PECG Recommendations" sheetId="3" r:id="rId3"/>
  </sheets>
  <definedNames>
    <definedName name="_xlnm.Print_Area" localSheetId="0">'100 Years DCF'!$B$1:$AH$62</definedName>
    <definedName name="_xlnm.Print_Titles" localSheetId="1">'Monitoring Calcs'!$1:$1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54" i="6" l="1"/>
  <c r="V52" i="6"/>
  <c r="V53" i="6"/>
  <c r="O61" i="6" l="1"/>
  <c r="I63" i="2"/>
  <c r="I61" i="2"/>
  <c r="I58" i="2"/>
  <c r="I57" i="2"/>
  <c r="AG23" i="6"/>
  <c r="AG22" i="6"/>
  <c r="AG21" i="6"/>
  <c r="AG19" i="6"/>
  <c r="AG18" i="6"/>
  <c r="J15" i="2" l="1"/>
  <c r="N33" i="6" s="1"/>
  <c r="K15" i="2"/>
  <c r="O33" i="6" s="1"/>
  <c r="L15" i="2"/>
  <c r="P33" i="6" s="1"/>
  <c r="M15" i="2"/>
  <c r="Q33" i="6" s="1"/>
  <c r="N15" i="2"/>
  <c r="R33" i="6" s="1"/>
  <c r="O15" i="2"/>
  <c r="S33" i="6" s="1"/>
  <c r="P15" i="2"/>
  <c r="T33" i="6" s="1"/>
  <c r="Q15" i="2"/>
  <c r="U33" i="6"/>
  <c r="R15" i="2"/>
  <c r="V33" i="6" s="1"/>
  <c r="S15" i="2"/>
  <c r="W33" i="6"/>
  <c r="T15" i="2"/>
  <c r="X33" i="6" s="1"/>
  <c r="U15" i="2"/>
  <c r="Y33" i="6"/>
  <c r="V15" i="2"/>
  <c r="Z33" i="6" s="1"/>
  <c r="W15" i="2"/>
  <c r="AA33" i="6"/>
  <c r="X15" i="2"/>
  <c r="AB33" i="6" s="1"/>
  <c r="Y15" i="2"/>
  <c r="AC33" i="6"/>
  <c r="Z15" i="2"/>
  <c r="AD33" i="6" s="1"/>
  <c r="AA15" i="2"/>
  <c r="AE33" i="6"/>
  <c r="AB15" i="2"/>
  <c r="AF33" i="6" s="1"/>
  <c r="AN49" i="6"/>
  <c r="AO49" i="6"/>
  <c r="AP49" i="6"/>
  <c r="AQ49" i="6"/>
  <c r="AR49" i="6"/>
  <c r="AS49" i="6"/>
  <c r="AL49" i="6"/>
  <c r="AM49" i="6"/>
  <c r="AK49" i="6"/>
  <c r="AJ49" i="6"/>
  <c r="U61" i="2"/>
  <c r="U63" i="2"/>
  <c r="N48" i="6"/>
  <c r="AH9" i="6"/>
  <c r="AH10" i="6"/>
  <c r="AH11" i="6"/>
  <c r="AH12" i="6"/>
  <c r="AH13" i="6"/>
  <c r="AH14" i="6"/>
  <c r="AH15" i="6"/>
  <c r="AH18" i="6"/>
  <c r="AH19" i="6"/>
  <c r="AH21" i="6"/>
  <c r="AH22" i="6"/>
  <c r="AH23" i="6"/>
  <c r="AH24" i="6"/>
  <c r="AH25" i="6"/>
  <c r="AH26" i="6"/>
  <c r="AH29" i="6"/>
  <c r="AH39" i="6"/>
  <c r="AG9" i="6"/>
  <c r="AG10" i="6"/>
  <c r="AG11" i="6"/>
  <c r="AG12" i="6"/>
  <c r="AG13" i="6"/>
  <c r="AG14" i="6"/>
  <c r="AG15" i="6"/>
  <c r="H15" i="2"/>
  <c r="L33" i="6" s="1"/>
  <c r="I15" i="2"/>
  <c r="M33" i="6" s="1"/>
  <c r="AG39" i="6"/>
  <c r="O5" i="6"/>
  <c r="O48" i="6" s="1"/>
  <c r="J6" i="2"/>
  <c r="P13" i="2"/>
  <c r="T31" i="6" s="1"/>
  <c r="Q13" i="2"/>
  <c r="U31" i="6" s="1"/>
  <c r="W62" i="2"/>
  <c r="N13" i="2" s="1"/>
  <c r="R31" i="6" s="1"/>
  <c r="R57" i="2"/>
  <c r="S57" i="2"/>
  <c r="N57" i="2"/>
  <c r="N58" i="2"/>
  <c r="S63" i="2"/>
  <c r="P63" i="2"/>
  <c r="N61" i="2"/>
  <c r="N63" i="2"/>
  <c r="S61" i="2"/>
  <c r="S58" i="2"/>
  <c r="R58" i="2"/>
  <c r="W58" i="2" s="1"/>
  <c r="P61" i="2"/>
  <c r="N76" i="2"/>
  <c r="N75" i="2"/>
  <c r="N74" i="2"/>
  <c r="N70" i="2"/>
  <c r="W67" i="2"/>
  <c r="Z16" i="2" s="1"/>
  <c r="AD35" i="6" s="1"/>
  <c r="Y16" i="2"/>
  <c r="AC35" i="6" s="1"/>
  <c r="AA16" i="2"/>
  <c r="AE35" i="6" s="1"/>
  <c r="W68" i="2"/>
  <c r="P70" i="2"/>
  <c r="W70" i="2" s="1"/>
  <c r="X18" i="2" s="1"/>
  <c r="AB37" i="6" s="1"/>
  <c r="AB18" i="2"/>
  <c r="AF37" i="6" s="1"/>
  <c r="X20" i="2"/>
  <c r="Y20" i="2"/>
  <c r="Z20" i="2"/>
  <c r="AA20" i="2"/>
  <c r="AB20" i="2"/>
  <c r="P74" i="2"/>
  <c r="W74" i="2" s="1"/>
  <c r="X21" i="2" s="1"/>
  <c r="AB40" i="6" s="1"/>
  <c r="AB21" i="2"/>
  <c r="AF40" i="6" s="1"/>
  <c r="P75" i="2"/>
  <c r="W75" i="2"/>
  <c r="Z22" i="2" s="1"/>
  <c r="AD41" i="6" s="1"/>
  <c r="Y22" i="2"/>
  <c r="AC41" i="6" s="1"/>
  <c r="AA22" i="2"/>
  <c r="AE41" i="6" s="1"/>
  <c r="P76" i="2"/>
  <c r="W76" i="2" s="1"/>
  <c r="Z23" i="2"/>
  <c r="AD42" i="6" s="1"/>
  <c r="W77" i="2"/>
  <c r="Y24" i="2" s="1"/>
  <c r="AC43" i="6" s="1"/>
  <c r="X24" i="2"/>
  <c r="AB43" i="6" s="1"/>
  <c r="Z24" i="2"/>
  <c r="AD43" i="6" s="1"/>
  <c r="AA24" i="2"/>
  <c r="AE43" i="6" s="1"/>
  <c r="AB24" i="2"/>
  <c r="AF43" i="6" s="1"/>
  <c r="H16" i="2"/>
  <c r="L35" i="6" s="1"/>
  <c r="I16" i="2"/>
  <c r="M35" i="6" s="1"/>
  <c r="J16" i="2"/>
  <c r="N35" i="6" s="1"/>
  <c r="K16" i="2"/>
  <c r="O35" i="6" s="1"/>
  <c r="L16" i="2"/>
  <c r="P35" i="6" s="1"/>
  <c r="M16" i="2"/>
  <c r="Q35" i="6" s="1"/>
  <c r="N16" i="2"/>
  <c r="R35" i="6" s="1"/>
  <c r="O16" i="2"/>
  <c r="S35" i="6" s="1"/>
  <c r="P16" i="2"/>
  <c r="T35" i="6" s="1"/>
  <c r="I18" i="2"/>
  <c r="M37" i="6" s="1"/>
  <c r="H20" i="2"/>
  <c r="I20" i="2"/>
  <c r="J20" i="2"/>
  <c r="K20" i="2"/>
  <c r="L20" i="2"/>
  <c r="M20" i="2"/>
  <c r="N20" i="2"/>
  <c r="O20" i="2"/>
  <c r="P20" i="2"/>
  <c r="O21" i="2"/>
  <c r="S40" i="6" s="1"/>
  <c r="H22" i="2"/>
  <c r="L41" i="6" s="1"/>
  <c r="I22" i="2"/>
  <c r="M41" i="6" s="1"/>
  <c r="J22" i="2"/>
  <c r="N41" i="6" s="1"/>
  <c r="K22" i="2"/>
  <c r="O41" i="6" s="1"/>
  <c r="L22" i="2"/>
  <c r="P41" i="6" s="1"/>
  <c r="M22" i="2"/>
  <c r="Q41" i="6" s="1"/>
  <c r="N22" i="2"/>
  <c r="R41" i="6" s="1"/>
  <c r="O22" i="2"/>
  <c r="S41" i="6" s="1"/>
  <c r="P22" i="2"/>
  <c r="T41" i="6" s="1"/>
  <c r="I23" i="2"/>
  <c r="M42" i="6" s="1"/>
  <c r="M23" i="2"/>
  <c r="Q42" i="6" s="1"/>
  <c r="T13" i="2"/>
  <c r="X31" i="6" s="1"/>
  <c r="U13" i="2"/>
  <c r="Y31" i="6" s="1"/>
  <c r="V13" i="2"/>
  <c r="Z31" i="6" s="1"/>
  <c r="W13" i="2"/>
  <c r="AA31" i="6" s="1"/>
  <c r="Q16" i="2"/>
  <c r="U35" i="6" s="1"/>
  <c r="R16" i="2"/>
  <c r="V35" i="6" s="1"/>
  <c r="S16" i="2"/>
  <c r="W35" i="6" s="1"/>
  <c r="T16" i="2"/>
  <c r="X35" i="6" s="1"/>
  <c r="U16" i="2"/>
  <c r="Y35" i="6" s="1"/>
  <c r="V16" i="2"/>
  <c r="Z35" i="6" s="1"/>
  <c r="W16" i="2"/>
  <c r="AA35" i="6" s="1"/>
  <c r="R17" i="2"/>
  <c r="V36" i="6" s="1"/>
  <c r="S18" i="2"/>
  <c r="W37" i="6" s="1"/>
  <c r="W18" i="2"/>
  <c r="AA37" i="6" s="1"/>
  <c r="T21" i="2"/>
  <c r="X40" i="6" s="1"/>
  <c r="Q22" i="2"/>
  <c r="U41" i="6" s="1"/>
  <c r="R22" i="2"/>
  <c r="V41" i="6" s="1"/>
  <c r="S22" i="2"/>
  <c r="W41" i="6" s="1"/>
  <c r="T22" i="2"/>
  <c r="X41" i="6" s="1"/>
  <c r="U22" i="2"/>
  <c r="Y41" i="6" s="1"/>
  <c r="V22" i="2"/>
  <c r="Z41" i="6" s="1"/>
  <c r="W22" i="2"/>
  <c r="AA41" i="6" s="1"/>
  <c r="R23" i="2"/>
  <c r="V42" i="6" s="1"/>
  <c r="V23" i="2"/>
  <c r="Z42" i="6" s="1"/>
  <c r="H24" i="2"/>
  <c r="L43" i="6" s="1"/>
  <c r="I24" i="2"/>
  <c r="J24" i="2"/>
  <c r="N43" i="6" s="1"/>
  <c r="K24" i="2"/>
  <c r="O43" i="6" s="1"/>
  <c r="L24" i="2"/>
  <c r="P43" i="6" s="1"/>
  <c r="M24" i="2"/>
  <c r="Q43" i="6" s="1"/>
  <c r="N24" i="2"/>
  <c r="R43" i="6" s="1"/>
  <c r="O24" i="2"/>
  <c r="S43" i="6" s="1"/>
  <c r="P24" i="2"/>
  <c r="T43" i="6" s="1"/>
  <c r="Q24" i="2"/>
  <c r="U43" i="6" s="1"/>
  <c r="R24" i="2"/>
  <c r="V43" i="6" s="1"/>
  <c r="S24" i="2"/>
  <c r="W43" i="6" s="1"/>
  <c r="T24" i="2"/>
  <c r="X43" i="6" s="1"/>
  <c r="U24" i="2"/>
  <c r="Y43" i="6" s="1"/>
  <c r="V24" i="2"/>
  <c r="Z43" i="6" s="1"/>
  <c r="W24" i="2"/>
  <c r="AA43" i="6" s="1"/>
  <c r="K6" i="2"/>
  <c r="L6" i="2" s="1"/>
  <c r="M6" i="2" s="1"/>
  <c r="N6" i="2" s="1"/>
  <c r="O6" i="2" s="1"/>
  <c r="P6" i="2" s="1"/>
  <c r="Q6" i="2" s="1"/>
  <c r="R6" i="2" s="1"/>
  <c r="S6" i="2" s="1"/>
  <c r="AC44" i="2"/>
  <c r="AC18" i="2" s="1"/>
  <c r="AC19" i="2"/>
  <c r="Q20" i="2"/>
  <c r="R20" i="2"/>
  <c r="S20" i="2"/>
  <c r="T20" i="2"/>
  <c r="U20" i="2"/>
  <c r="V20" i="2"/>
  <c r="W20" i="2"/>
  <c r="K30" i="2"/>
  <c r="L30" i="2"/>
  <c r="M30" i="2" s="1"/>
  <c r="N30" i="2" s="1"/>
  <c r="O30" i="2" s="1"/>
  <c r="P30" i="2" s="1"/>
  <c r="Q30" i="2" s="1"/>
  <c r="R30" i="2" s="1"/>
  <c r="S30" i="2" s="1"/>
  <c r="AC34" i="2"/>
  <c r="AC35" i="2"/>
  <c r="AC37" i="2"/>
  <c r="AC38" i="2"/>
  <c r="AC39" i="2"/>
  <c r="AC40" i="2"/>
  <c r="AC42" i="2"/>
  <c r="AC43" i="2"/>
  <c r="AC46" i="2"/>
  <c r="AC47" i="2"/>
  <c r="AC48" i="2"/>
  <c r="AC49" i="2"/>
  <c r="AC50" i="2"/>
  <c r="X71" i="2"/>
  <c r="AG43" i="6" l="1"/>
  <c r="P5" i="6"/>
  <c r="W61" i="2"/>
  <c r="W12" i="2" s="1"/>
  <c r="AA30" i="6" s="1"/>
  <c r="AC20" i="2"/>
  <c r="AC15" i="2"/>
  <c r="AG33" i="6"/>
  <c r="AH33" i="6"/>
  <c r="Y11" i="2"/>
  <c r="AC28" i="6" s="1"/>
  <c r="AA11" i="2"/>
  <c r="AE28" i="6" s="1"/>
  <c r="X11" i="2"/>
  <c r="AB28" i="6" s="1"/>
  <c r="Z11" i="2"/>
  <c r="AD28" i="6" s="1"/>
  <c r="AB11" i="2"/>
  <c r="AF28" i="6" s="1"/>
  <c r="L11" i="2"/>
  <c r="P28" i="6" s="1"/>
  <c r="R11" i="2"/>
  <c r="V28" i="6" s="1"/>
  <c r="U11" i="2"/>
  <c r="Y28" i="6" s="1"/>
  <c r="K11" i="2"/>
  <c r="O28" i="6" s="1"/>
  <c r="M11" i="2"/>
  <c r="Q28" i="6" s="1"/>
  <c r="H11" i="2"/>
  <c r="L28" i="6" s="1"/>
  <c r="V11" i="2"/>
  <c r="Z28" i="6" s="1"/>
  <c r="J11" i="2"/>
  <c r="N11" i="2"/>
  <c r="R28" i="6" s="1"/>
  <c r="O11" i="2"/>
  <c r="S28" i="6" s="1"/>
  <c r="I11" i="2"/>
  <c r="M28" i="6" s="1"/>
  <c r="W11" i="2"/>
  <c r="AA28" i="6" s="1"/>
  <c r="Q11" i="2"/>
  <c r="U28" i="6" s="1"/>
  <c r="T11" i="2"/>
  <c r="X28" i="6" s="1"/>
  <c r="P11" i="2"/>
  <c r="T28" i="6" s="1"/>
  <c r="S11" i="2"/>
  <c r="W28" i="6" s="1"/>
  <c r="AH43" i="6"/>
  <c r="X17" i="2"/>
  <c r="AB36" i="6" s="1"/>
  <c r="AB17" i="2"/>
  <c r="AF36" i="6" s="1"/>
  <c r="K17" i="2"/>
  <c r="O36" i="6" s="1"/>
  <c r="O17" i="2"/>
  <c r="S36" i="6" s="1"/>
  <c r="S17" i="2"/>
  <c r="W36" i="6" s="1"/>
  <c r="W17" i="2"/>
  <c r="AA36" i="6" s="1"/>
  <c r="Y17" i="2"/>
  <c r="AC36" i="6" s="1"/>
  <c r="H17" i="2"/>
  <c r="L36" i="6" s="1"/>
  <c r="L17" i="2"/>
  <c r="P36" i="6" s="1"/>
  <c r="P17" i="2"/>
  <c r="T36" i="6" s="1"/>
  <c r="T17" i="2"/>
  <c r="X36" i="6" s="1"/>
  <c r="Z17" i="2"/>
  <c r="AD36" i="6" s="1"/>
  <c r="I17" i="2"/>
  <c r="M36" i="6" s="1"/>
  <c r="M17" i="2"/>
  <c r="Q36" i="6" s="1"/>
  <c r="Q17" i="2"/>
  <c r="U36" i="6" s="1"/>
  <c r="U17" i="2"/>
  <c r="Y36" i="6" s="1"/>
  <c r="X69" i="2"/>
  <c r="K21" i="2"/>
  <c r="O40" i="6" s="1"/>
  <c r="N17" i="2"/>
  <c r="R36" i="6" s="1"/>
  <c r="P48" i="6"/>
  <c r="Q5" i="6"/>
  <c r="AC24" i="2"/>
  <c r="J17" i="2"/>
  <c r="Y21" i="2"/>
  <c r="AC40" i="6" s="1"/>
  <c r="H21" i="2"/>
  <c r="L40" i="6" s="1"/>
  <c r="L21" i="2"/>
  <c r="P40" i="6" s="1"/>
  <c r="P21" i="2"/>
  <c r="T40" i="6" s="1"/>
  <c r="Q21" i="2"/>
  <c r="U40" i="6" s="1"/>
  <c r="U21" i="2"/>
  <c r="Y40" i="6" s="1"/>
  <c r="Z21" i="2"/>
  <c r="AD40" i="6" s="1"/>
  <c r="I21" i="2"/>
  <c r="M21" i="2"/>
  <c r="Q40" i="6" s="1"/>
  <c r="R21" i="2"/>
  <c r="V40" i="6" s="1"/>
  <c r="V21" i="2"/>
  <c r="Z40" i="6" s="1"/>
  <c r="AA21" i="2"/>
  <c r="AE40" i="6" s="1"/>
  <c r="J21" i="2"/>
  <c r="N21" i="2"/>
  <c r="R40" i="6" s="1"/>
  <c r="S21" i="2"/>
  <c r="W40" i="6" s="1"/>
  <c r="W21" i="2"/>
  <c r="AA40" i="6" s="1"/>
  <c r="Y18" i="2"/>
  <c r="AC37" i="6" s="1"/>
  <c r="J18" i="2"/>
  <c r="N37" i="6" s="1"/>
  <c r="N18" i="2"/>
  <c r="R37" i="6" s="1"/>
  <c r="T18" i="2"/>
  <c r="X37" i="6" s="1"/>
  <c r="Z18" i="2"/>
  <c r="AD37" i="6" s="1"/>
  <c r="K18" i="2"/>
  <c r="O37" i="6" s="1"/>
  <c r="O18" i="2"/>
  <c r="S37" i="6" s="1"/>
  <c r="Q18" i="2"/>
  <c r="U37" i="6" s="1"/>
  <c r="U18" i="2"/>
  <c r="Y37" i="6" s="1"/>
  <c r="AA18" i="2"/>
  <c r="AE37" i="6" s="1"/>
  <c r="H18" i="2"/>
  <c r="L37" i="6" s="1"/>
  <c r="L18" i="2"/>
  <c r="P37" i="6" s="1"/>
  <c r="P18" i="2"/>
  <c r="T37" i="6" s="1"/>
  <c r="R18" i="2"/>
  <c r="V37" i="6" s="1"/>
  <c r="V18" i="2"/>
  <c r="Z37" i="6" s="1"/>
  <c r="Y12" i="2"/>
  <c r="AC30" i="6" s="1"/>
  <c r="AA12" i="2"/>
  <c r="AE30" i="6" s="1"/>
  <c r="K12" i="2"/>
  <c r="O30" i="6" s="1"/>
  <c r="Q12" i="2"/>
  <c r="U30" i="6" s="1"/>
  <c r="S12" i="2"/>
  <c r="W30" i="6" s="1"/>
  <c r="V12" i="2"/>
  <c r="Z30" i="6" s="1"/>
  <c r="X12" i="2"/>
  <c r="AB30" i="6" s="1"/>
  <c r="Z12" i="2"/>
  <c r="AD30" i="6" s="1"/>
  <c r="I12" i="2"/>
  <c r="M30" i="6" s="1"/>
  <c r="L12" i="2"/>
  <c r="P30" i="6" s="1"/>
  <c r="N12" i="2"/>
  <c r="R30" i="6" s="1"/>
  <c r="P12" i="2"/>
  <c r="T30" i="6" s="1"/>
  <c r="W57" i="2"/>
  <c r="H10" i="2" s="1"/>
  <c r="V17" i="2"/>
  <c r="Z36" i="6" s="1"/>
  <c r="M18" i="2"/>
  <c r="Q37" i="6" s="1"/>
  <c r="AA23" i="2"/>
  <c r="AE42" i="6" s="1"/>
  <c r="J23" i="2"/>
  <c r="N23" i="2"/>
  <c r="R42" i="6" s="1"/>
  <c r="S23" i="2"/>
  <c r="W42" i="6" s="1"/>
  <c r="W23" i="2"/>
  <c r="AA42" i="6" s="1"/>
  <c r="X23" i="2"/>
  <c r="AB42" i="6" s="1"/>
  <c r="AB23" i="2"/>
  <c r="AF42" i="6" s="1"/>
  <c r="K23" i="2"/>
  <c r="O42" i="6" s="1"/>
  <c r="O23" i="2"/>
  <c r="S42" i="6" s="1"/>
  <c r="T23" i="2"/>
  <c r="X42" i="6" s="1"/>
  <c r="Y23" i="2"/>
  <c r="AC42" i="6" s="1"/>
  <c r="H23" i="2"/>
  <c r="L42" i="6" s="1"/>
  <c r="L23" i="2"/>
  <c r="P42" i="6" s="1"/>
  <c r="P23" i="2"/>
  <c r="T42" i="6" s="1"/>
  <c r="Q23" i="2"/>
  <c r="U42" i="6" s="1"/>
  <c r="U23" i="2"/>
  <c r="Y42" i="6" s="1"/>
  <c r="AA17" i="2"/>
  <c r="AE36" i="6" s="1"/>
  <c r="R12" i="2"/>
  <c r="V30" i="6" s="1"/>
  <c r="AB22" i="2"/>
  <c r="AF41" i="6" s="1"/>
  <c r="X22" i="2"/>
  <c r="AB16" i="2"/>
  <c r="AF35" i="6" s="1"/>
  <c r="X16" i="2"/>
  <c r="AB35" i="6" s="1"/>
  <c r="H13" i="2"/>
  <c r="L31" i="6" s="1"/>
  <c r="O13" i="2"/>
  <c r="S31" i="6" s="1"/>
  <c r="X13" i="2"/>
  <c r="AB31" i="6" s="1"/>
  <c r="Z13" i="2"/>
  <c r="AD31" i="6" s="1"/>
  <c r="AB13" i="2"/>
  <c r="AF31" i="6" s="1"/>
  <c r="Y13" i="2"/>
  <c r="AC31" i="6" s="1"/>
  <c r="AA13" i="2"/>
  <c r="AE31" i="6" s="1"/>
  <c r="M13" i="2"/>
  <c r="Q31" i="6" s="1"/>
  <c r="K13" i="2"/>
  <c r="O31" i="6" s="1"/>
  <c r="J13" i="2"/>
  <c r="W63" i="2"/>
  <c r="S13" i="2"/>
  <c r="W31" i="6" s="1"/>
  <c r="R13" i="2"/>
  <c r="V31" i="6" s="1"/>
  <c r="L13" i="2"/>
  <c r="P31" i="6" s="1"/>
  <c r="I13" i="2"/>
  <c r="M31" i="6" s="1"/>
  <c r="AG31" i="6" l="1"/>
  <c r="O12" i="2"/>
  <c r="S30" i="6" s="1"/>
  <c r="U12" i="2"/>
  <c r="Y30" i="6" s="1"/>
  <c r="AB12" i="2"/>
  <c r="AF30" i="6" s="1"/>
  <c r="T12" i="2"/>
  <c r="X30" i="6" s="1"/>
  <c r="M12" i="2"/>
  <c r="Q30" i="6" s="1"/>
  <c r="H12" i="2"/>
  <c r="L30" i="6" s="1"/>
  <c r="J12" i="2"/>
  <c r="N30" i="6" s="1"/>
  <c r="AG35" i="6"/>
  <c r="AG37" i="6"/>
  <c r="AH35" i="6"/>
  <c r="N31" i="6"/>
  <c r="AC13" i="2"/>
  <c r="AC23" i="2"/>
  <c r="N42" i="6"/>
  <c r="AH42" i="6" s="1"/>
  <c r="X10" i="2"/>
  <c r="AB27" i="6" s="1"/>
  <c r="Z10" i="2"/>
  <c r="AD27" i="6" s="1"/>
  <c r="AB10" i="2"/>
  <c r="AF27" i="6" s="1"/>
  <c r="K10" i="2"/>
  <c r="O27" i="6" s="1"/>
  <c r="M10" i="2"/>
  <c r="Q27" i="6" s="1"/>
  <c r="J10" i="2"/>
  <c r="T10" i="2"/>
  <c r="X27" i="6" s="1"/>
  <c r="Y10" i="2"/>
  <c r="AC27" i="6" s="1"/>
  <c r="N10" i="2"/>
  <c r="R27" i="6" s="1"/>
  <c r="O10" i="2"/>
  <c r="S27" i="6" s="1"/>
  <c r="U10" i="2"/>
  <c r="Y27" i="6" s="1"/>
  <c r="AA10" i="2"/>
  <c r="AE27" i="6" s="1"/>
  <c r="I10" i="2"/>
  <c r="M27" i="6" s="1"/>
  <c r="P10" i="2"/>
  <c r="T27" i="6" s="1"/>
  <c r="Q10" i="2"/>
  <c r="U27" i="6" s="1"/>
  <c r="L27" i="6"/>
  <c r="V10" i="2"/>
  <c r="Z27" i="6" s="1"/>
  <c r="R10" i="2"/>
  <c r="V27" i="6" s="1"/>
  <c r="X59" i="2"/>
  <c r="L10" i="2"/>
  <c r="P27" i="6" s="1"/>
  <c r="S10" i="2"/>
  <c r="W27" i="6" s="1"/>
  <c r="W10" i="2"/>
  <c r="AA27" i="6" s="1"/>
  <c r="AH37" i="6"/>
  <c r="R5" i="6"/>
  <c r="Q48" i="6"/>
  <c r="N40" i="6"/>
  <c r="AH40" i="6" s="1"/>
  <c r="AC21" i="2"/>
  <c r="AC16" i="2"/>
  <c r="AB41" i="6"/>
  <c r="AC22" i="2"/>
  <c r="AH31" i="6"/>
  <c r="N14" i="2"/>
  <c r="R32" i="6" s="1"/>
  <c r="R14" i="2"/>
  <c r="V32" i="6" s="1"/>
  <c r="U14" i="2"/>
  <c r="Y32" i="6" s="1"/>
  <c r="J14" i="2"/>
  <c r="M14" i="2"/>
  <c r="Q32" i="6" s="1"/>
  <c r="Q14" i="2"/>
  <c r="U32" i="6" s="1"/>
  <c r="T14" i="2"/>
  <c r="X32" i="6" s="1"/>
  <c r="X14" i="2"/>
  <c r="AB32" i="6" s="1"/>
  <c r="Z14" i="2"/>
  <c r="AD32" i="6" s="1"/>
  <c r="AB14" i="2"/>
  <c r="AF32" i="6" s="1"/>
  <c r="L14" i="2"/>
  <c r="P32" i="6" s="1"/>
  <c r="P14" i="2"/>
  <c r="T32" i="6" s="1"/>
  <c r="S14" i="2"/>
  <c r="W32" i="6" s="1"/>
  <c r="I14" i="2"/>
  <c r="M32" i="6" s="1"/>
  <c r="H14" i="2"/>
  <c r="L32" i="6" s="1"/>
  <c r="W14" i="2"/>
  <c r="AA32" i="6" s="1"/>
  <c r="O14" i="2"/>
  <c r="S32" i="6" s="1"/>
  <c r="Y14" i="2"/>
  <c r="AC32" i="6" s="1"/>
  <c r="K14" i="2"/>
  <c r="O32" i="6" s="1"/>
  <c r="AA14" i="2"/>
  <c r="AE32" i="6" s="1"/>
  <c r="V14" i="2"/>
  <c r="Z32" i="6" s="1"/>
  <c r="X65" i="2"/>
  <c r="N36" i="6"/>
  <c r="AH36" i="6" s="1"/>
  <c r="AC17" i="2"/>
  <c r="N28" i="6"/>
  <c r="AH28" i="6" s="1"/>
  <c r="AC11" i="2"/>
  <c r="AH41" i="6" l="1"/>
  <c r="AG41" i="6"/>
  <c r="AH30" i="6"/>
  <c r="AG40" i="6"/>
  <c r="AG42" i="6"/>
  <c r="AC12" i="2"/>
  <c r="AG30" i="6"/>
  <c r="AG28" i="6"/>
  <c r="U46" i="6"/>
  <c r="X46" i="6"/>
  <c r="Y46" i="6"/>
  <c r="AG36" i="6"/>
  <c r="AA46" i="6"/>
  <c r="T46" i="6"/>
  <c r="S46" i="6"/>
  <c r="AC10" i="2"/>
  <c r="N27" i="6"/>
  <c r="AG27" i="6" s="1"/>
  <c r="AD46" i="6"/>
  <c r="N32" i="6"/>
  <c r="AH32" i="6" s="1"/>
  <c r="AC14" i="2"/>
  <c r="W46" i="6"/>
  <c r="Z46" i="6"/>
  <c r="AH27" i="6"/>
  <c r="M46" i="6"/>
  <c r="R46" i="6"/>
  <c r="Q46" i="6"/>
  <c r="Q49" i="6" s="1"/>
  <c r="AB46" i="6"/>
  <c r="AF46" i="6"/>
  <c r="R48" i="6"/>
  <c r="S5" i="6"/>
  <c r="P46" i="6"/>
  <c r="P49" i="6" s="1"/>
  <c r="L46" i="6"/>
  <c r="AE46" i="6"/>
  <c r="AC46" i="6"/>
  <c r="O46" i="6"/>
  <c r="O49" i="6" s="1"/>
  <c r="AB49" i="6" l="1"/>
  <c r="M55" i="6" s="1"/>
  <c r="O55" i="6"/>
  <c r="Y49" i="6"/>
  <c r="M52" i="6" s="1"/>
  <c r="O52" i="6"/>
  <c r="AF49" i="6"/>
  <c r="M59" i="6" s="1"/>
  <c r="O59" i="6"/>
  <c r="AC49" i="6"/>
  <c r="M56" i="6" s="1"/>
  <c r="O56" i="6"/>
  <c r="AD49" i="6"/>
  <c r="M57" i="6" s="1"/>
  <c r="O57" i="6"/>
  <c r="X49" i="6"/>
  <c r="M51" i="6" s="1"/>
  <c r="O51" i="6"/>
  <c r="Z49" i="6"/>
  <c r="M53" i="6" s="1"/>
  <c r="O53" i="6"/>
  <c r="AE49" i="6"/>
  <c r="M58" i="6" s="1"/>
  <c r="O58" i="6"/>
  <c r="AA49" i="6"/>
  <c r="M54" i="6" s="1"/>
  <c r="O54" i="6"/>
  <c r="AG32" i="6"/>
  <c r="R49" i="6"/>
  <c r="S48" i="6"/>
  <c r="S49" i="6" s="1"/>
  <c r="T5" i="6"/>
  <c r="N46" i="6"/>
  <c r="V20" i="6" s="1"/>
  <c r="AG20" i="6" l="1"/>
  <c r="N49" i="6"/>
  <c r="T48" i="6"/>
  <c r="T49" i="6" s="1"/>
  <c r="U5" i="6"/>
  <c r="V5" i="6" l="1"/>
  <c r="U48" i="6"/>
  <c r="U49" i="6" s="1"/>
  <c r="V46" i="6"/>
  <c r="AG46" i="6"/>
  <c r="AH20" i="6"/>
  <c r="AH46" i="6" s="1"/>
  <c r="V48" i="6" l="1"/>
  <c r="V49" i="6" s="1"/>
  <c r="W5" i="6"/>
  <c r="W48" i="6" s="1"/>
  <c r="W49" i="6" s="1"/>
  <c r="M50" i="6" l="1"/>
  <c r="M61" i="6" s="1"/>
</calcChain>
</file>

<file path=xl/sharedStrings.xml><?xml version="1.0" encoding="utf-8"?>
<sst xmlns="http://schemas.openxmlformats.org/spreadsheetml/2006/main" count="315" uniqueCount="186">
  <si>
    <t xml:space="preserve">        Aquatic - Fish Survey (trout/white fish Pinchi only, no other types of tests)</t>
  </si>
  <si>
    <t xml:space="preserve">Surface Water Monitoring   </t>
  </si>
  <si>
    <t>Chemistry</t>
  </si>
  <si>
    <t>Sediment / Benthics - only if find acute / chronic tox issues</t>
  </si>
  <si>
    <t xml:space="preserve">       Sediment / Benthic sampling</t>
  </si>
  <si>
    <t>Hydrocarbons</t>
  </si>
  <si>
    <t>Metals / Mercury</t>
  </si>
  <si>
    <t xml:space="preserve">        Surface Water Chemistry / Toxicity / sediments / benthic - see above</t>
  </si>
  <si>
    <t>Surface Water Monitoring - Chemistry</t>
  </si>
  <si>
    <t>Routine Inpections</t>
  </si>
  <si>
    <t>Surface Water Monitoring - Sediment / Benthics</t>
  </si>
  <si>
    <t>Surface Waters - Routine Chemistry - as above</t>
  </si>
  <si>
    <t>Aquatic - Comprehensive Monitoring include More comprehensive Fish Survey</t>
  </si>
  <si>
    <t>Post Reclamation</t>
  </si>
  <si>
    <t>Notes:</t>
  </si>
  <si>
    <t>Cost / Person</t>
  </si>
  <si>
    <t>Days In</t>
  </si>
  <si>
    <t>Field</t>
  </si>
  <si>
    <t>Fees</t>
  </si>
  <si>
    <t>Per Day</t>
  </si>
  <si>
    <t>Travel</t>
  </si>
  <si>
    <t>Per Diem</t>
  </si>
  <si>
    <t>Samples</t>
  </si>
  <si>
    <t>Total Nbr</t>
  </si>
  <si>
    <t>Analytical</t>
  </si>
  <si>
    <t>Cost / Sample</t>
  </si>
  <si>
    <t>Reporting</t>
  </si>
  <si>
    <t>Cost/Event</t>
  </si>
  <si>
    <t xml:space="preserve">        Aquatic - Comprehensive Eco Survey</t>
  </si>
  <si>
    <t>Routine Surface Water Monitoring</t>
  </si>
  <si>
    <t>Ecological Risk Assessment Monitoring</t>
  </si>
  <si>
    <t>Contingency of 1 HHRA Review</t>
  </si>
  <si>
    <t>Ecological/Human Health Risk Assessment Monitoring</t>
  </si>
  <si>
    <t xml:space="preserve">Routine Surface Water Monitoring </t>
  </si>
  <si>
    <t>SUBTOTAL COST per event</t>
  </si>
  <si>
    <t>Geotechnical Inspections (by P.Eng.)</t>
  </si>
  <si>
    <t>2061 - 2070</t>
  </si>
  <si>
    <t>2071 - 2080</t>
  </si>
  <si>
    <t>2081 - 20909</t>
  </si>
  <si>
    <t>2091 - 2100</t>
  </si>
  <si>
    <t>2101 - 2110</t>
  </si>
  <si>
    <t xml:space="preserve">Table A1.  Post Closure ERA Monitoring. </t>
  </si>
  <si>
    <t>Monitoring Task</t>
  </si>
  <si>
    <t>Study Component</t>
  </si>
  <si>
    <t>Locations</t>
  </si>
  <si>
    <t>Parameters</t>
  </si>
  <si>
    <t>Frequency</t>
  </si>
  <si>
    <t>Routine On-site Water Quality Monitoring</t>
  </si>
  <si>
    <t>Water chemistry</t>
  </si>
  <si>
    <t>Sediment chemistry</t>
  </si>
  <si>
    <t>TOC, grain size, metals</t>
  </si>
  <si>
    <t>Benthic invertebrates</t>
  </si>
  <si>
    <t>Taxonomy</t>
  </si>
  <si>
    <t xml:space="preserve">        Terresrial (ground/flying insects)/plants/soil/wildlife</t>
  </si>
  <si>
    <t>Professionals</t>
  </si>
  <si>
    <t>In Field</t>
  </si>
  <si>
    <t>Assistance</t>
  </si>
  <si>
    <t>Field Supplies</t>
  </si>
  <si>
    <t>&amp; Expenses</t>
  </si>
  <si>
    <t>Re-Vegetation Monitoring</t>
  </si>
  <si>
    <t>Geotechnical Inspections</t>
  </si>
  <si>
    <t>Aquatic - Fish Survey</t>
  </si>
  <si>
    <t>Geotechnical Monitoring</t>
  </si>
  <si>
    <t xml:space="preserve">        Geotechnical Inspections</t>
  </si>
  <si>
    <t xml:space="preserve">         Dam Safety Review</t>
  </si>
  <si>
    <t>Subtotal</t>
  </si>
  <si>
    <t>Terrestrial Monitoring</t>
  </si>
  <si>
    <t xml:space="preserve">FREQUENCY OF VARIOUS MONITORING EVENTS </t>
  </si>
  <si>
    <t>CALCULATION OF COST PER INDIVIDUAL MONITORING EVENT</t>
  </si>
  <si>
    <t>By Type</t>
  </si>
  <si>
    <t>By Event</t>
  </si>
  <si>
    <t xml:space="preserve">COST BY TIME FOR VARIOUS MONITORING EVENTS </t>
  </si>
  <si>
    <t>Total</t>
  </si>
  <si>
    <t>Caretaker</t>
  </si>
  <si>
    <t>Heating Fuel</t>
  </si>
  <si>
    <t>Truck Licence</t>
  </si>
  <si>
    <t>Misc. Supplies</t>
  </si>
  <si>
    <t>Phone / Internet</t>
  </si>
  <si>
    <t>Totals</t>
  </si>
  <si>
    <t>SITE MAINTENANCE</t>
  </si>
  <si>
    <t>SITE SECUITY</t>
  </si>
  <si>
    <t>Fencing / Signage</t>
  </si>
  <si>
    <t>Re-vegetation Monitoring</t>
  </si>
  <si>
    <t>Elec. Power</t>
  </si>
  <si>
    <t>Year 1</t>
  </si>
  <si>
    <t>Year 2</t>
  </si>
  <si>
    <t>Year 3</t>
  </si>
  <si>
    <t>Year 4</t>
  </si>
  <si>
    <t>Year 5</t>
  </si>
  <si>
    <t>Year 6</t>
  </si>
  <si>
    <t>Year 7</t>
  </si>
  <si>
    <t>CLOSURE PERIOD</t>
  </si>
  <si>
    <t>POST CLOSURE MONITORING</t>
  </si>
  <si>
    <t>Year 8</t>
  </si>
  <si>
    <t>Year 9</t>
  </si>
  <si>
    <t>Year 10</t>
  </si>
  <si>
    <t>Years 11 - 20</t>
  </si>
  <si>
    <t>Years 21 - 30</t>
  </si>
  <si>
    <t>Site Monitoring (Excluding Reclamation Work Project Monitoring)</t>
  </si>
  <si>
    <t>Years 31 - 39</t>
  </si>
  <si>
    <t>Years 41 - 49</t>
  </si>
  <si>
    <t>Years 51 - 59</t>
  </si>
  <si>
    <t>Years 61 - 69</t>
  </si>
  <si>
    <t>Years 71 - 79</t>
  </si>
  <si>
    <t>Years 81 - 89</t>
  </si>
  <si>
    <t>Years 91 - 99</t>
  </si>
  <si>
    <t>Fuel for Site Vehicle</t>
  </si>
  <si>
    <t>Ground Water Monitoring</t>
  </si>
  <si>
    <t>Dam Safety Reviews</t>
  </si>
  <si>
    <t>Planning / Mobilizing</t>
  </si>
  <si>
    <t>Days</t>
  </si>
  <si>
    <t>Cost / Day</t>
  </si>
  <si>
    <t>Travel to Area</t>
  </si>
  <si>
    <t># People</t>
  </si>
  <si>
    <r>
      <t xml:space="preserve">Do every </t>
    </r>
    <r>
      <rPr>
        <sz val="10"/>
        <rFont val="Arial"/>
      </rPr>
      <t>10</t>
    </r>
    <r>
      <rPr>
        <sz val="10"/>
        <rFont val="Arial"/>
      </rPr>
      <t xml:space="preserve"> yrs starting in 201</t>
    </r>
    <r>
      <rPr>
        <sz val="10"/>
        <rFont val="Arial"/>
      </rPr>
      <t>6</t>
    </r>
  </si>
  <si>
    <r>
      <t>Starting in 201</t>
    </r>
    <r>
      <rPr>
        <sz val="10"/>
        <rFont val="Arial"/>
      </rPr>
      <t>8</t>
    </r>
    <r>
      <rPr>
        <sz val="10"/>
        <rFont val="Arial"/>
      </rPr>
      <t xml:space="preserve"> decrease frequency to every 2nd Yr</t>
    </r>
  </si>
  <si>
    <r>
      <t>Three on-site surface water stations</t>
    </r>
    <r>
      <rPr>
        <vertAlign val="superscript"/>
        <sz val="10"/>
        <rFont val="Arial"/>
        <family val="2"/>
      </rPr>
      <t>1</t>
    </r>
  </si>
  <si>
    <t>every second year</t>
  </si>
  <si>
    <t>Conventionals, nutrients, total mercury, metals</t>
  </si>
  <si>
    <t>1. Stations consist of Shear Creek near outlet, TP#2 downstream of outlet, background/reference site</t>
  </si>
  <si>
    <t>50 YEARS</t>
  </si>
  <si>
    <t>2018 - 2060</t>
  </si>
  <si>
    <t>2029 - 2038</t>
  </si>
  <si>
    <t>2039 - 2048</t>
  </si>
  <si>
    <t>2049 - 2058</t>
  </si>
  <si>
    <t>2059 - 2068</t>
  </si>
  <si>
    <t>CULLATON LAKE MINE - LONG TERM SITE MONITORING CALCULATION OF COSTS</t>
  </si>
  <si>
    <t>Charter Flight Thompson to site</t>
  </si>
  <si>
    <t>Charter Flight</t>
  </si>
  <si>
    <t>AMP recommneds 3 sites every 2nd year</t>
  </si>
  <si>
    <t xml:space="preserve">Airstrip </t>
  </si>
  <si>
    <t>Site Road Work - clearing shrubs, leveling, maintaining stream crossings</t>
  </si>
  <si>
    <t>Emergency Housing</t>
  </si>
  <si>
    <t>Sediment / Benthic sampling</t>
  </si>
  <si>
    <t>Site Monitoring (Excluding Thermister Installation)</t>
  </si>
  <si>
    <t>Assume geotech, chemistry (and sediment every second trip) are on same flight</t>
  </si>
  <si>
    <t>exp recommends every 3rd year.  Keep consistent with Chemistry (same trip), every 2nd year</t>
  </si>
  <si>
    <t>Every 10 years (i.e, every 5th trip to site), replaces the geotech program that year</t>
  </si>
  <si>
    <t>2028 - 2037</t>
  </si>
  <si>
    <t>2038 - 2047</t>
  </si>
  <si>
    <t>2048 - 2057</t>
  </si>
  <si>
    <t>2058 - 2067</t>
  </si>
  <si>
    <t>Every 20 yrs Starting in 2026</t>
  </si>
  <si>
    <t>Year 0</t>
  </si>
  <si>
    <t>Charter flight from Thompson to site</t>
  </si>
  <si>
    <t>AMP recommends every 5 years, instead sediment/benthic coincident with every second chemistry (i.e., every 4 years)</t>
  </si>
  <si>
    <t>Thermister installation at tailings</t>
  </si>
  <si>
    <t>Have a Caravan available - that's it.</t>
  </si>
  <si>
    <t xml:space="preserve">       Chemistry 4 locations - plus 2 duplicates</t>
  </si>
  <si>
    <t>Discount rate</t>
  </si>
  <si>
    <t>Chemistry 4 locations</t>
  </si>
  <si>
    <t>Years 1-10</t>
  </si>
  <si>
    <t>Years 11-20</t>
  </si>
  <si>
    <t>Years 21-30</t>
  </si>
  <si>
    <t>Years 41-50</t>
  </si>
  <si>
    <t>Years 31-40</t>
  </si>
  <si>
    <t>Years 51-60</t>
  </si>
  <si>
    <t>Years 61-70</t>
  </si>
  <si>
    <t>Years 71-80</t>
  </si>
  <si>
    <t>Years 81-90</t>
  </si>
  <si>
    <t>Years 91-100</t>
  </si>
  <si>
    <t>Contingency allowance (unexpected maintenance, or supplemental monitoring)</t>
  </si>
  <si>
    <t>discounted</t>
  </si>
  <si>
    <t>Discounted after year 10</t>
  </si>
  <si>
    <t>no discount</t>
  </si>
  <si>
    <t>Every 4 years starting in 2018</t>
  </si>
  <si>
    <t>Years 31 - 40</t>
  </si>
  <si>
    <t>Years 41 - 50</t>
  </si>
  <si>
    <t>Years 50 - 59</t>
  </si>
  <si>
    <t>2068 - 2077</t>
  </si>
  <si>
    <t>2078 - 2087</t>
  </si>
  <si>
    <t>2088 - 2097</t>
  </si>
  <si>
    <t>2098 - 2107</t>
  </si>
  <si>
    <t>2108 - 2117</t>
  </si>
  <si>
    <t>100 YEARS</t>
  </si>
  <si>
    <t>2018 - 2117</t>
  </si>
  <si>
    <t>Total for 100 years</t>
  </si>
  <si>
    <t>One time (30%)</t>
  </si>
  <si>
    <t>101 YEARS</t>
  </si>
  <si>
    <t>2017 TO 2117</t>
  </si>
  <si>
    <t>Assume shack repairs every 10 years starting in 2018</t>
  </si>
  <si>
    <t>Every 10 years starting in 2018</t>
  </si>
  <si>
    <t>TOTAL 2017 to 2117 FORECAST COSTS</t>
  </si>
  <si>
    <t>CULLATON LAKE MINE - LONG TERM SITE MONITORING COSTS (Expressed in 2018 Dollars)</t>
  </si>
  <si>
    <t>Repairs to Rip-Rap - Spillway &amp; Lowering Dam</t>
  </si>
  <si>
    <t>no discount after year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</si>
</sst>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(&quot;$&quot;* #,##0_);_(&quot;$&quot;* \(#,##0\);_(&quot;$&quot;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</font>
    <font>
      <sz val="11"/>
      <name val="Arial"/>
      <family val="2"/>
    </font>
    <font>
      <sz val="8"/>
      <name val="Arial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name val="Arial"/>
    </font>
    <font>
      <sz val="10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0"/>
      <color rgb="FFFF0000"/>
      <name val="Arial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1">
    <xf numFmtId="0" fontId="0" fillId="0" borderId="0"/>
    <xf numFmtId="166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03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4" fillId="0" borderId="0" xfId="0" applyFont="1" applyBorder="1"/>
    <xf numFmtId="0" fontId="0" fillId="0" borderId="0" xfId="0" applyBorder="1"/>
    <xf numFmtId="0" fontId="5" fillId="0" borderId="0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/>
    </xf>
    <xf numFmtId="169" fontId="7" fillId="0" borderId="6" xfId="0" applyNumberFormat="1" applyFont="1" applyFill="1" applyBorder="1"/>
    <xf numFmtId="169" fontId="4" fillId="0" borderId="0" xfId="1" applyNumberFormat="1" applyFont="1"/>
    <xf numFmtId="1" fontId="0" fillId="0" borderId="0" xfId="0" applyNumberFormat="1"/>
    <xf numFmtId="0" fontId="4" fillId="0" borderId="0" xfId="0" applyFont="1" applyFill="1"/>
    <xf numFmtId="0" fontId="9" fillId="0" borderId="0" xfId="0" applyFont="1" applyBorder="1"/>
    <xf numFmtId="0" fontId="11" fillId="0" borderId="0" xfId="0" applyFont="1"/>
    <xf numFmtId="0" fontId="9" fillId="0" borderId="0" xfId="0" quotePrefix="1" applyFont="1"/>
    <xf numFmtId="0" fontId="9" fillId="0" borderId="0" xfId="0" applyFont="1"/>
    <xf numFmtId="168" fontId="0" fillId="0" borderId="5" xfId="0" applyNumberFormat="1" applyBorder="1"/>
    <xf numFmtId="0" fontId="9" fillId="0" borderId="7" xfId="0" applyFont="1" applyBorder="1"/>
    <xf numFmtId="169" fontId="7" fillId="0" borderId="8" xfId="0" applyNumberFormat="1" applyFont="1" applyFill="1" applyBorder="1"/>
    <xf numFmtId="168" fontId="0" fillId="0" borderId="9" xfId="0" applyNumberFormat="1" applyBorder="1"/>
    <xf numFmtId="0" fontId="0" fillId="0" borderId="10" xfId="0" applyBorder="1"/>
    <xf numFmtId="169" fontId="7" fillId="0" borderId="11" xfId="0" applyNumberFormat="1" applyFont="1" applyFill="1" applyBorder="1"/>
    <xf numFmtId="169" fontId="7" fillId="0" borderId="4" xfId="0" applyNumberFormat="1" applyFont="1" applyFill="1" applyBorder="1"/>
    <xf numFmtId="0" fontId="12" fillId="0" borderId="0" xfId="0" applyFont="1" applyAlignment="1"/>
    <xf numFmtId="0" fontId="4" fillId="0" borderId="0" xfId="0" applyFont="1" applyBorder="1" applyAlignment="1">
      <alignment horizontal="center" wrapText="1"/>
    </xf>
    <xf numFmtId="169" fontId="0" fillId="0" borderId="0" xfId="1" applyNumberFormat="1" applyFont="1"/>
    <xf numFmtId="0" fontId="13" fillId="0" borderId="0" xfId="0" applyFont="1" applyAlignment="1"/>
    <xf numFmtId="1" fontId="7" fillId="0" borderId="11" xfId="1" applyNumberFormat="1" applyFont="1" applyFill="1" applyBorder="1" applyAlignment="1">
      <alignment horizontal="center"/>
    </xf>
    <xf numFmtId="1" fontId="7" fillId="0" borderId="4" xfId="1" applyNumberFormat="1" applyFont="1" applyFill="1" applyBorder="1" applyAlignment="1">
      <alignment horizontal="center"/>
    </xf>
    <xf numFmtId="1" fontId="7" fillId="0" borderId="8" xfId="1" applyNumberFormat="1" applyFont="1" applyFill="1" applyBorder="1" applyAlignment="1">
      <alignment horizontal="center"/>
    </xf>
    <xf numFmtId="1" fontId="7" fillId="0" borderId="6" xfId="1" applyNumberFormat="1" applyFont="1" applyFill="1" applyBorder="1" applyAlignment="1">
      <alignment horizontal="center"/>
    </xf>
    <xf numFmtId="169" fontId="5" fillId="0" borderId="0" xfId="1" applyNumberFormat="1" applyFont="1" applyAlignment="1">
      <alignment horizontal="center"/>
    </xf>
    <xf numFmtId="169" fontId="5" fillId="0" borderId="0" xfId="1" applyNumberFormat="1" applyFont="1"/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169" fontId="5" fillId="0" borderId="16" xfId="1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/>
    <xf numFmtId="169" fontId="5" fillId="0" borderId="16" xfId="1" applyNumberFormat="1" applyFont="1" applyBorder="1"/>
    <xf numFmtId="169" fontId="5" fillId="0" borderId="17" xfId="1" applyNumberFormat="1" applyFont="1" applyBorder="1"/>
    <xf numFmtId="169" fontId="2" fillId="0" borderId="18" xfId="0" applyNumberFormat="1" applyFont="1" applyBorder="1"/>
    <xf numFmtId="0" fontId="4" fillId="0" borderId="6" xfId="0" applyFont="1" applyBorder="1" applyAlignment="1">
      <alignment horizontal="center"/>
    </xf>
    <xf numFmtId="169" fontId="4" fillId="0" borderId="19" xfId="1" applyNumberFormat="1" applyFont="1" applyBorder="1" applyAlignment="1">
      <alignment horizontal="center"/>
    </xf>
    <xf numFmtId="169" fontId="4" fillId="0" borderId="20" xfId="1" applyNumberFormat="1" applyFont="1" applyBorder="1" applyAlignment="1">
      <alignment horizontal="center"/>
    </xf>
    <xf numFmtId="169" fontId="4" fillId="0" borderId="21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/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9" fontId="4" fillId="0" borderId="22" xfId="1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" fontId="7" fillId="0" borderId="25" xfId="1" applyNumberFormat="1" applyFont="1" applyFill="1" applyBorder="1" applyAlignment="1">
      <alignment horizontal="center"/>
    </xf>
    <xf numFmtId="1" fontId="7" fillId="0" borderId="23" xfId="1" applyNumberFormat="1" applyFont="1" applyFill="1" applyBorder="1" applyAlignment="1">
      <alignment horizontal="center"/>
    </xf>
    <xf numFmtId="168" fontId="0" fillId="0" borderId="24" xfId="0" applyNumberFormat="1" applyBorder="1"/>
    <xf numFmtId="0" fontId="2" fillId="0" borderId="0" xfId="0" applyFont="1" applyAlignment="1"/>
    <xf numFmtId="0" fontId="2" fillId="0" borderId="8" xfId="0" applyFont="1" applyBorder="1" applyAlignment="1"/>
    <xf numFmtId="0" fontId="5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0" fillId="0" borderId="30" xfId="0" applyBorder="1"/>
    <xf numFmtId="169" fontId="5" fillId="0" borderId="31" xfId="1" applyNumberFormat="1" applyFont="1" applyBorder="1" applyAlignment="1">
      <alignment horizontal="center"/>
    </xf>
    <xf numFmtId="169" fontId="5" fillId="0" borderId="31" xfId="1" applyNumberFormat="1" applyFont="1" applyBorder="1"/>
    <xf numFmtId="0" fontId="5" fillId="0" borderId="29" xfId="0" applyFont="1" applyBorder="1"/>
    <xf numFmtId="169" fontId="5" fillId="0" borderId="32" xfId="1" applyNumberFormat="1" applyFont="1" applyBorder="1"/>
    <xf numFmtId="0" fontId="5" fillId="0" borderId="31" xfId="0" applyFont="1" applyBorder="1" applyAlignment="1">
      <alignment horizontal="center"/>
    </xf>
    <xf numFmtId="169" fontId="5" fillId="0" borderId="32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3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/>
    <xf numFmtId="0" fontId="5" fillId="0" borderId="15" xfId="0" applyFont="1" applyBorder="1"/>
    <xf numFmtId="169" fontId="5" fillId="0" borderId="29" xfId="1" applyNumberFormat="1" applyFont="1" applyBorder="1"/>
    <xf numFmtId="169" fontId="5" fillId="0" borderId="36" xfId="1" applyNumberFormat="1" applyFont="1" applyBorder="1" applyAlignment="1">
      <alignment horizontal="center"/>
    </xf>
    <xf numFmtId="169" fontId="5" fillId="0" borderId="36" xfId="1" applyNumberFormat="1" applyFont="1" applyBorder="1"/>
    <xf numFmtId="0" fontId="5" fillId="0" borderId="37" xfId="0" applyFont="1" applyBorder="1"/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5" fillId="0" borderId="32" xfId="0" applyFont="1" applyBorder="1"/>
    <xf numFmtId="169" fontId="5" fillId="0" borderId="34" xfId="1" applyNumberFormat="1" applyFont="1" applyBorder="1" applyAlignment="1">
      <alignment horizontal="center"/>
    </xf>
    <xf numFmtId="169" fontId="5" fillId="0" borderId="34" xfId="1" applyNumberFormat="1" applyFont="1" applyBorder="1"/>
    <xf numFmtId="0" fontId="2" fillId="0" borderId="48" xfId="0" applyFont="1" applyBorder="1"/>
    <xf numFmtId="0" fontId="2" fillId="0" borderId="28" xfId="0" applyFont="1" applyBorder="1"/>
    <xf numFmtId="169" fontId="2" fillId="0" borderId="28" xfId="0" applyNumberFormat="1" applyFont="1" applyBorder="1"/>
    <xf numFmtId="169" fontId="4" fillId="0" borderId="15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7" fillId="0" borderId="1" xfId="1" applyNumberFormat="1" applyFont="1" applyFill="1" applyBorder="1" applyAlignment="1">
      <alignment horizontal="center"/>
    </xf>
    <xf numFmtId="1" fontId="7" fillId="0" borderId="3" xfId="1" applyNumberFormat="1" applyFont="1" applyFill="1" applyBorder="1" applyAlignment="1">
      <alignment horizontal="center"/>
    </xf>
    <xf numFmtId="169" fontId="4" fillId="0" borderId="49" xfId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1" fontId="7" fillId="0" borderId="50" xfId="0" applyNumberFormat="1" applyFont="1" applyFill="1" applyBorder="1" applyAlignment="1">
      <alignment horizontal="center"/>
    </xf>
    <xf numFmtId="1" fontId="7" fillId="0" borderId="52" xfId="0" applyNumberFormat="1" applyFont="1" applyFill="1" applyBorder="1" applyAlignment="1">
      <alignment horizontal="center"/>
    </xf>
    <xf numFmtId="169" fontId="7" fillId="0" borderId="6" xfId="1" applyNumberFormat="1" applyFont="1" applyFill="1" applyBorder="1" applyAlignment="1">
      <alignment horizontal="center"/>
    </xf>
    <xf numFmtId="169" fontId="7" fillId="0" borderId="23" xfId="1" applyNumberFormat="1" applyFont="1" applyFill="1" applyBorder="1" applyAlignment="1">
      <alignment horizontal="center"/>
    </xf>
    <xf numFmtId="169" fontId="7" fillId="0" borderId="8" xfId="1" applyNumberFormat="1" applyFont="1" applyFill="1" applyBorder="1" applyAlignment="1">
      <alignment horizontal="center"/>
    </xf>
    <xf numFmtId="169" fontId="7" fillId="0" borderId="3" xfId="1" applyNumberFormat="1" applyFont="1" applyFill="1" applyBorder="1" applyAlignment="1">
      <alignment horizontal="center"/>
    </xf>
    <xf numFmtId="169" fontId="7" fillId="0" borderId="52" xfId="1" applyNumberFormat="1" applyFont="1" applyFill="1" applyBorder="1" applyAlignment="1">
      <alignment horizontal="center"/>
    </xf>
    <xf numFmtId="169" fontId="0" fillId="0" borderId="24" xfId="1" applyNumberFormat="1" applyFont="1" applyBorder="1"/>
    <xf numFmtId="169" fontId="0" fillId="0" borderId="9" xfId="1" applyNumberFormat="1" applyFont="1" applyBorder="1"/>
    <xf numFmtId="169" fontId="0" fillId="0" borderId="5" xfId="1" applyNumberFormat="1" applyFont="1" applyBorder="1"/>
    <xf numFmtId="169" fontId="0" fillId="0" borderId="13" xfId="1" applyNumberFormat="1" applyFont="1" applyBorder="1"/>
    <xf numFmtId="0" fontId="6" fillId="0" borderId="2" xfId="0" applyFont="1" applyBorder="1" applyAlignment="1">
      <alignment horizontal="center"/>
    </xf>
    <xf numFmtId="0" fontId="0" fillId="0" borderId="4" xfId="0" applyBorder="1"/>
    <xf numFmtId="169" fontId="4" fillId="0" borderId="4" xfId="1" applyNumberFormat="1" applyFont="1" applyBorder="1" applyAlignment="1">
      <alignment horizontal="center"/>
    </xf>
    <xf numFmtId="0" fontId="5" fillId="0" borderId="53" xfId="0" applyFont="1" applyBorder="1"/>
    <xf numFmtId="0" fontId="0" fillId="0" borderId="53" xfId="0" applyBorder="1"/>
    <xf numFmtId="0" fontId="6" fillId="0" borderId="53" xfId="0" applyFont="1" applyBorder="1" applyAlignment="1">
      <alignment horizontal="left"/>
    </xf>
    <xf numFmtId="169" fontId="7" fillId="0" borderId="54" xfId="0" applyNumberFormat="1" applyFont="1" applyBorder="1"/>
    <xf numFmtId="0" fontId="6" fillId="0" borderId="55" xfId="0" applyFont="1" applyBorder="1" applyAlignment="1">
      <alignment horizontal="left"/>
    </xf>
    <xf numFmtId="0" fontId="5" fillId="0" borderId="27" xfId="0" applyFont="1" applyBorder="1"/>
    <xf numFmtId="0" fontId="0" fillId="0" borderId="27" xfId="0" applyBorder="1"/>
    <xf numFmtId="169" fontId="7" fillId="0" borderId="54" xfId="0" applyNumberFormat="1" applyFont="1" applyFill="1" applyBorder="1"/>
    <xf numFmtId="0" fontId="6" fillId="0" borderId="27" xfId="0" applyFont="1" applyBorder="1" applyAlignment="1">
      <alignment horizontal="left"/>
    </xf>
    <xf numFmtId="169" fontId="7" fillId="0" borderId="34" xfId="0" applyNumberFormat="1" applyFont="1" applyBorder="1"/>
    <xf numFmtId="0" fontId="5" fillId="0" borderId="27" xfId="0" applyFont="1" applyFill="1" applyBorder="1"/>
    <xf numFmtId="0" fontId="9" fillId="0" borderId="27" xfId="0" applyFont="1" applyFill="1" applyBorder="1" applyAlignment="1"/>
    <xf numFmtId="0" fontId="10" fillId="0" borderId="27" xfId="0" applyFont="1" applyFill="1" applyBorder="1" applyAlignment="1">
      <alignment horizontal="left"/>
    </xf>
    <xf numFmtId="169" fontId="7" fillId="0" borderId="34" xfId="0" applyNumberFormat="1" applyFont="1" applyFill="1" applyBorder="1"/>
    <xf numFmtId="0" fontId="6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169" fontId="4" fillId="0" borderId="25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9" fontId="7" fillId="0" borderId="25" xfId="0" applyNumberFormat="1" applyFont="1" applyFill="1" applyBorder="1"/>
    <xf numFmtId="169" fontId="7" fillId="0" borderId="23" xfId="0" applyNumberFormat="1" applyFont="1" applyFill="1" applyBorder="1"/>
    <xf numFmtId="169" fontId="7" fillId="0" borderId="56" xfId="0" applyNumberFormat="1" applyFont="1" applyBorder="1"/>
    <xf numFmtId="169" fontId="7" fillId="0" borderId="57" xfId="0" applyNumberFormat="1" applyFont="1" applyBorder="1"/>
    <xf numFmtId="169" fontId="7" fillId="0" borderId="56" xfId="0" applyNumberFormat="1" applyFont="1" applyFill="1" applyBorder="1"/>
    <xf numFmtId="169" fontId="7" fillId="0" borderId="57" xfId="0" applyNumberFormat="1" applyFont="1" applyFill="1" applyBorder="1"/>
    <xf numFmtId="169" fontId="7" fillId="0" borderId="58" xfId="0" applyNumberFormat="1" applyFont="1" applyBorder="1"/>
    <xf numFmtId="169" fontId="7" fillId="0" borderId="59" xfId="0" applyNumberFormat="1" applyFont="1" applyBorder="1"/>
    <xf numFmtId="9" fontId="0" fillId="0" borderId="0" xfId="0" applyNumberFormat="1"/>
    <xf numFmtId="165" fontId="0" fillId="0" borderId="0" xfId="0" applyNumberFormat="1"/>
    <xf numFmtId="169" fontId="0" fillId="0" borderId="0" xfId="0" applyNumberFormat="1"/>
    <xf numFmtId="169" fontId="15" fillId="0" borderId="28" xfId="0" applyNumberFormat="1" applyFont="1" applyBorder="1"/>
    <xf numFmtId="0" fontId="16" fillId="0" borderId="27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53" xfId="0" applyFont="1" applyFill="1" applyBorder="1"/>
    <xf numFmtId="0" fontId="5" fillId="0" borderId="53" xfId="0" applyFont="1" applyFill="1" applyBorder="1" applyAlignment="1">
      <alignment horizontal="left"/>
    </xf>
    <xf numFmtId="0" fontId="5" fillId="0" borderId="60" xfId="0" applyFont="1" applyBorder="1" applyAlignment="1">
      <alignment horizontal="center"/>
    </xf>
    <xf numFmtId="169" fontId="5" fillId="0" borderId="61" xfId="1" applyNumberFormat="1" applyFont="1" applyBorder="1"/>
    <xf numFmtId="169" fontId="5" fillId="0" borderId="61" xfId="1" applyNumberFormat="1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169" fontId="5" fillId="0" borderId="64" xfId="1" applyNumberFormat="1" applyFont="1" applyBorder="1" applyAlignment="1">
      <alignment horizontal="center"/>
    </xf>
    <xf numFmtId="169" fontId="5" fillId="0" borderId="63" xfId="1" applyNumberFormat="1" applyFont="1" applyBorder="1"/>
    <xf numFmtId="169" fontId="5" fillId="0" borderId="62" xfId="1" applyNumberFormat="1" applyFont="1" applyBorder="1"/>
    <xf numFmtId="0" fontId="2" fillId="0" borderId="65" xfId="0" applyFont="1" applyBorder="1"/>
    <xf numFmtId="0" fontId="5" fillId="0" borderId="66" xfId="0" applyFont="1" applyFill="1" applyBorder="1" applyAlignment="1">
      <alignment horizontal="left"/>
    </xf>
    <xf numFmtId="0" fontId="5" fillId="0" borderId="67" xfId="0" applyFont="1" applyFill="1" applyBorder="1" applyAlignment="1">
      <alignment horizontal="left"/>
    </xf>
    <xf numFmtId="0" fontId="5" fillId="0" borderId="65" xfId="0" applyFont="1" applyFill="1" applyBorder="1" applyAlignment="1">
      <alignment horizontal="left"/>
    </xf>
    <xf numFmtId="0" fontId="3" fillId="0" borderId="0" xfId="0" applyFont="1"/>
    <xf numFmtId="0" fontId="2" fillId="0" borderId="27" xfId="0" applyFont="1" applyBorder="1"/>
    <xf numFmtId="0" fontId="2" fillId="0" borderId="0" xfId="0" applyFont="1" applyBorder="1"/>
    <xf numFmtId="0" fontId="18" fillId="0" borderId="0" xfId="0" applyFont="1" applyBorder="1"/>
    <xf numFmtId="0" fontId="18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 vertical="top" wrapText="1"/>
    </xf>
    <xf numFmtId="0" fontId="2" fillId="0" borderId="68" xfId="0" applyFont="1" applyBorder="1" applyAlignment="1">
      <alignment horizontal="center"/>
    </xf>
    <xf numFmtId="0" fontId="4" fillId="0" borderId="53" xfId="0" applyFont="1" applyBorder="1"/>
    <xf numFmtId="1" fontId="7" fillId="0" borderId="54" xfId="1" applyNumberFormat="1" applyFont="1" applyFill="1" applyBorder="1" applyAlignment="1">
      <alignment horizontal="center"/>
    </xf>
    <xf numFmtId="1" fontId="7" fillId="0" borderId="56" xfId="1" applyNumberFormat="1" applyFont="1" applyFill="1" applyBorder="1" applyAlignment="1">
      <alignment horizontal="center"/>
    </xf>
    <xf numFmtId="1" fontId="7" fillId="0" borderId="58" xfId="0" applyNumberFormat="1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7" xfId="0" applyFont="1" applyBorder="1"/>
    <xf numFmtId="1" fontId="7" fillId="0" borderId="34" xfId="1" applyNumberFormat="1" applyFont="1" applyFill="1" applyBorder="1" applyAlignment="1">
      <alignment horizontal="center"/>
    </xf>
    <xf numFmtId="1" fontId="7" fillId="0" borderId="57" xfId="1" applyNumberFormat="1" applyFont="1" applyFill="1" applyBorder="1" applyAlignment="1">
      <alignment horizontal="center"/>
    </xf>
    <xf numFmtId="1" fontId="7" fillId="0" borderId="28" xfId="1" applyNumberFormat="1" applyFont="1" applyFill="1" applyBorder="1" applyAlignment="1">
      <alignment horizontal="center"/>
    </xf>
    <xf numFmtId="1" fontId="7" fillId="0" borderId="26" xfId="1" applyNumberFormat="1" applyFont="1" applyFill="1" applyBorder="1" applyAlignment="1">
      <alignment horizontal="center"/>
    </xf>
    <xf numFmtId="1" fontId="7" fillId="0" borderId="59" xfId="0" applyNumberFormat="1" applyFont="1" applyFill="1" applyBorder="1" applyAlignment="1">
      <alignment horizontal="center"/>
    </xf>
    <xf numFmtId="0" fontId="0" fillId="0" borderId="27" xfId="0" applyFill="1" applyBorder="1"/>
    <xf numFmtId="0" fontId="0" fillId="0" borderId="69" xfId="0" applyBorder="1"/>
    <xf numFmtId="0" fontId="9" fillId="0" borderId="70" xfId="0" applyFont="1" applyBorder="1"/>
    <xf numFmtId="168" fontId="0" fillId="0" borderId="35" xfId="0" applyNumberFormat="1" applyBorder="1"/>
    <xf numFmtId="168" fontId="0" fillId="0" borderId="71" xfId="0" applyNumberFormat="1" applyBorder="1"/>
    <xf numFmtId="168" fontId="0" fillId="0" borderId="18" xfId="0" applyNumberFormat="1" applyBorder="1"/>
    <xf numFmtId="168" fontId="0" fillId="0" borderId="69" xfId="0" applyNumberFormat="1" applyBorder="1"/>
    <xf numFmtId="168" fontId="0" fillId="0" borderId="72" xfId="0" applyNumberFormat="1" applyBorder="1"/>
    <xf numFmtId="0" fontId="4" fillId="0" borderId="2" xfId="0" applyFont="1" applyBorder="1" applyAlignment="1">
      <alignment horizontal="center"/>
    </xf>
    <xf numFmtId="169" fontId="4" fillId="0" borderId="5" xfId="1" applyNumberFormat="1" applyFont="1" applyBorder="1" applyAlignment="1">
      <alignment horizontal="center"/>
    </xf>
    <xf numFmtId="169" fontId="7" fillId="2" borderId="54" xfId="0" applyNumberFormat="1" applyFont="1" applyFill="1" applyBorder="1"/>
    <xf numFmtId="169" fontId="7" fillId="2" borderId="34" xfId="0" applyNumberFormat="1" applyFont="1" applyFill="1" applyBorder="1"/>
    <xf numFmtId="169" fontId="5" fillId="0" borderId="54" xfId="0" applyNumberFormat="1" applyFont="1" applyBorder="1"/>
    <xf numFmtId="169" fontId="5" fillId="0" borderId="56" xfId="0" applyNumberFormat="1" applyFont="1" applyBorder="1"/>
    <xf numFmtId="0" fontId="5" fillId="0" borderId="26" xfId="0" applyFont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53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0" fontId="2" fillId="0" borderId="0" xfId="0" applyFont="1" applyBorder="1" applyAlignment="1">
      <alignment horizontal="center"/>
    </xf>
    <xf numFmtId="169" fontId="4" fillId="0" borderId="11" xfId="1" applyNumberFormat="1" applyFont="1" applyBorder="1" applyAlignment="1">
      <alignment horizontal="center"/>
    </xf>
    <xf numFmtId="168" fontId="22" fillId="0" borderId="0" xfId="110" applyNumberFormat="1" applyFont="1"/>
    <xf numFmtId="0" fontId="13" fillId="0" borderId="0" xfId="0" applyFont="1" applyAlignment="1">
      <alignment horizontal="left" vertical="center"/>
    </xf>
    <xf numFmtId="169" fontId="7" fillId="0" borderId="28" xfId="0" applyNumberFormat="1" applyFont="1" applyBorder="1"/>
    <xf numFmtId="169" fontId="7" fillId="0" borderId="28" xfId="0" applyNumberFormat="1" applyFont="1" applyFill="1" applyBorder="1"/>
    <xf numFmtId="169" fontId="7" fillId="0" borderId="55" xfId="0" applyNumberFormat="1" applyFont="1" applyFill="1" applyBorder="1"/>
    <xf numFmtId="169" fontId="7" fillId="0" borderId="59" xfId="0" applyNumberFormat="1" applyFont="1" applyFill="1" applyBorder="1"/>
    <xf numFmtId="169" fontId="7" fillId="0" borderId="52" xfId="0" applyNumberFormat="1" applyFont="1" applyFill="1" applyBorder="1"/>
    <xf numFmtId="169" fontId="7" fillId="0" borderId="58" xfId="0" applyNumberFormat="1" applyFont="1" applyFill="1" applyBorder="1"/>
    <xf numFmtId="169" fontId="4" fillId="0" borderId="5" xfId="1" applyNumberFormat="1" applyFont="1" applyBorder="1"/>
    <xf numFmtId="169" fontId="4" fillId="0" borderId="12" xfId="1" applyNumberFormat="1" applyFont="1" applyBorder="1"/>
    <xf numFmtId="169" fontId="4" fillId="0" borderId="9" xfId="1" applyNumberFormat="1" applyFont="1" applyBorder="1" applyAlignment="1">
      <alignment horizontal="center"/>
    </xf>
    <xf numFmtId="169" fontId="4" fillId="0" borderId="77" xfId="1" applyNumberFormat="1" applyFont="1" applyBorder="1" applyAlignment="1">
      <alignment horizontal="centerContinuous"/>
    </xf>
    <xf numFmtId="169" fontId="4" fillId="0" borderId="78" xfId="1" applyNumberFormat="1" applyFont="1" applyBorder="1" applyAlignment="1">
      <alignment horizontal="centerContinuous"/>
    </xf>
    <xf numFmtId="0" fontId="0" fillId="0" borderId="78" xfId="0" applyBorder="1" applyAlignment="1">
      <alignment horizontal="centerContinuous"/>
    </xf>
    <xf numFmtId="0" fontId="0" fillId="0" borderId="79" xfId="0" applyBorder="1" applyAlignment="1">
      <alignment horizontal="centerContinuous"/>
    </xf>
    <xf numFmtId="168" fontId="0" fillId="0" borderId="0" xfId="0" applyNumberFormat="1"/>
    <xf numFmtId="0" fontId="0" fillId="0" borderId="0" xfId="0" applyAlignment="1">
      <alignment horizontal="right"/>
    </xf>
    <xf numFmtId="9" fontId="2" fillId="0" borderId="0" xfId="0" applyNumberFormat="1" applyFont="1"/>
    <xf numFmtId="0" fontId="2" fillId="0" borderId="0" xfId="0" applyFont="1"/>
    <xf numFmtId="169" fontId="23" fillId="0" borderId="19" xfId="1" applyNumberFormat="1" applyFont="1" applyBorder="1" applyAlignment="1">
      <alignment horizontal="center"/>
    </xf>
    <xf numFmtId="169" fontId="23" fillId="0" borderId="22" xfId="1" applyNumberFormat="1" applyFont="1" applyBorder="1" applyAlignment="1">
      <alignment horizontal="center"/>
    </xf>
    <xf numFmtId="169" fontId="23" fillId="0" borderId="21" xfId="1" applyNumberFormat="1" applyFont="1" applyBorder="1" applyAlignment="1">
      <alignment horizontal="center"/>
    </xf>
    <xf numFmtId="169" fontId="23" fillId="0" borderId="20" xfId="1" applyNumberFormat="1" applyFont="1" applyBorder="1" applyAlignment="1">
      <alignment horizontal="center"/>
    </xf>
    <xf numFmtId="169" fontId="23" fillId="0" borderId="49" xfId="1" applyNumberFormat="1" applyFont="1" applyBorder="1" applyAlignment="1">
      <alignment horizontal="center"/>
    </xf>
    <xf numFmtId="0" fontId="15" fillId="0" borderId="0" xfId="0" applyFont="1"/>
    <xf numFmtId="0" fontId="14" fillId="0" borderId="0" xfId="0" applyFont="1" applyAlignment="1"/>
    <xf numFmtId="0" fontId="2" fillId="0" borderId="0" xfId="0" applyFont="1" applyFill="1" applyBorder="1" applyAlignment="1">
      <alignment horizontal="center"/>
    </xf>
    <xf numFmtId="0" fontId="11" fillId="0" borderId="0" xfId="0" applyFont="1" applyFill="1"/>
    <xf numFmtId="0" fontId="9" fillId="0" borderId="0" xfId="0" quotePrefix="1" applyFont="1" applyFill="1"/>
    <xf numFmtId="0" fontId="9" fillId="0" borderId="0" xfId="0" applyFont="1" applyFill="1" applyBorder="1"/>
    <xf numFmtId="0" fontId="9" fillId="0" borderId="0" xfId="0" applyFont="1" applyFill="1"/>
    <xf numFmtId="0" fontId="2" fillId="0" borderId="7" xfId="0" applyFont="1" applyFill="1" applyBorder="1" applyAlignment="1">
      <alignment horizontal="center"/>
    </xf>
    <xf numFmtId="0" fontId="4" fillId="0" borderId="7" xfId="0" applyFont="1" applyFill="1" applyBorder="1"/>
    <xf numFmtId="0" fontId="0" fillId="0" borderId="7" xfId="0" quotePrefix="1" applyFill="1" applyBorder="1"/>
    <xf numFmtId="0" fontId="0" fillId="0" borderId="7" xfId="0" applyFill="1" applyBorder="1"/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169" fontId="7" fillId="0" borderId="57" xfId="0" applyNumberFormat="1" applyFont="1" applyBorder="1" applyAlignment="1">
      <alignment vertical="center"/>
    </xf>
    <xf numFmtId="169" fontId="7" fillId="0" borderId="59" xfId="0" applyNumberFormat="1" applyFont="1" applyBorder="1" applyAlignment="1">
      <alignment vertical="center"/>
    </xf>
    <xf numFmtId="169" fontId="7" fillId="0" borderId="28" xfId="0" applyNumberFormat="1" applyFont="1" applyBorder="1" applyAlignment="1">
      <alignment vertical="center"/>
    </xf>
    <xf numFmtId="169" fontId="7" fillId="0" borderId="34" xfId="0" applyNumberFormat="1" applyFont="1" applyBorder="1" applyAlignment="1">
      <alignment vertical="center"/>
    </xf>
    <xf numFmtId="169" fontId="7" fillId="0" borderId="34" xfId="0" applyNumberFormat="1" applyFont="1" applyFill="1" applyBorder="1" applyAlignment="1">
      <alignment vertical="center"/>
    </xf>
    <xf numFmtId="169" fontId="7" fillId="0" borderId="5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9" fontId="15" fillId="0" borderId="28" xfId="0" applyNumberFormat="1" applyFont="1" applyBorder="1" applyAlignment="1">
      <alignment vertical="center"/>
    </xf>
    <xf numFmtId="169" fontId="5" fillId="0" borderId="54" xfId="0" applyNumberFormat="1" applyFont="1" applyBorder="1" applyAlignment="1">
      <alignment vertical="center"/>
    </xf>
    <xf numFmtId="169" fontId="4" fillId="0" borderId="20" xfId="1" applyNumberFormat="1" applyFont="1" applyBorder="1" applyAlignment="1">
      <alignment horizontal="center"/>
    </xf>
    <xf numFmtId="169" fontId="4" fillId="0" borderId="74" xfId="1" applyNumberFormat="1" applyFont="1" applyBorder="1" applyAlignment="1">
      <alignment horizontal="center"/>
    </xf>
    <xf numFmtId="0" fontId="5" fillId="0" borderId="27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4" fillId="0" borderId="69" xfId="0" applyFont="1" applyBorder="1" applyAlignment="1">
      <alignment horizontal="right"/>
    </xf>
    <xf numFmtId="0" fontId="4" fillId="0" borderId="70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/>
    </xf>
    <xf numFmtId="169" fontId="4" fillId="0" borderId="73" xfId="1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4" fillId="0" borderId="75" xfId="0" applyFont="1" applyBorder="1" applyAlignment="1">
      <alignment horizontal="left"/>
    </xf>
    <xf numFmtId="0" fontId="4" fillId="0" borderId="76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169" fontId="4" fillId="0" borderId="21" xfId="1" applyNumberFormat="1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48" xfId="0" applyFont="1" applyBorder="1" applyAlignment="1">
      <alignment horizontal="center"/>
    </xf>
  </cellXfs>
  <cellStyles count="151">
    <cellStyle name="Comma" xfId="110" builtinId="3"/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3"/>
  <sheetViews>
    <sheetView tabSelected="1" zoomScale="70" zoomScaleNormal="70" workbookViewId="0">
      <selection activeCell="R66" sqref="R66"/>
    </sheetView>
  </sheetViews>
  <sheetFormatPr defaultColWidth="8.796875" defaultRowHeight="12.75" x14ac:dyDescent="0.35"/>
  <cols>
    <col min="1" max="1" width="2" customWidth="1"/>
    <col min="2" max="2" width="3.796875" customWidth="1"/>
    <col min="3" max="3" width="4.796875" customWidth="1"/>
    <col min="4" max="4" width="6.796875" customWidth="1"/>
    <col min="5" max="5" width="4.796875" customWidth="1"/>
    <col min="6" max="9" width="3.6640625" customWidth="1"/>
    <col min="10" max="10" width="26.46484375" customWidth="1"/>
    <col min="11" max="11" width="41.9296875" customWidth="1"/>
    <col min="12" max="12" width="11.46484375" customWidth="1"/>
    <col min="13" max="13" width="15.73046875" customWidth="1"/>
    <col min="14" max="14" width="14.46484375" customWidth="1"/>
    <col min="15" max="15" width="12.19921875" customWidth="1"/>
    <col min="16" max="16" width="13.6640625" customWidth="1"/>
    <col min="17" max="17" width="7.796875" bestFit="1" customWidth="1"/>
    <col min="18" max="18" width="14.33203125" customWidth="1"/>
    <col min="19" max="19" width="7.796875" bestFit="1" customWidth="1"/>
    <col min="20" max="20" width="12.19921875" customWidth="1"/>
    <col min="21" max="21" width="7.796875" bestFit="1" customWidth="1"/>
    <col min="22" max="22" width="13.59765625" customWidth="1"/>
    <col min="23" max="23" width="8.796875" bestFit="1" customWidth="1"/>
    <col min="24" max="24" width="13.46484375" bestFit="1" customWidth="1"/>
    <col min="25" max="25" width="13.6640625" bestFit="1" customWidth="1"/>
    <col min="26" max="27" width="13.6640625" customWidth="1"/>
    <col min="28" max="32" width="13.6640625" bestFit="1" customWidth="1"/>
    <col min="33" max="33" width="13" customWidth="1"/>
    <col min="34" max="34" width="17.796875" bestFit="1" customWidth="1"/>
  </cols>
  <sheetData>
    <row r="1" spans="1:45" ht="20.65" x14ac:dyDescent="0.5">
      <c r="B1" s="221" t="s">
        <v>183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31"/>
      <c r="O1" s="32"/>
    </row>
    <row r="2" spans="1:45" ht="14.25" thickBot="1" x14ac:dyDescent="0.45">
      <c r="A2" s="9"/>
      <c r="B2" s="218"/>
      <c r="C2" s="21"/>
      <c r="D2" s="22"/>
      <c r="E2" s="20"/>
      <c r="F2" s="20"/>
      <c r="G2" s="20"/>
      <c r="H2" s="20"/>
      <c r="I2" s="20"/>
      <c r="J2" s="20"/>
      <c r="K2" s="23"/>
      <c r="L2" s="17"/>
      <c r="M2" s="17"/>
      <c r="N2" s="17"/>
      <c r="O2" s="15"/>
    </row>
    <row r="3" spans="1:45" ht="14.25" thickBot="1" x14ac:dyDescent="0.45">
      <c r="A3" s="9"/>
      <c r="B3" s="218"/>
      <c r="C3" s="21"/>
      <c r="D3" s="22"/>
      <c r="E3" s="20"/>
      <c r="F3" s="20"/>
      <c r="G3" s="20"/>
      <c r="H3" s="20"/>
      <c r="I3" s="20"/>
      <c r="J3" s="20"/>
      <c r="K3" s="23"/>
      <c r="L3" s="268" t="s">
        <v>91</v>
      </c>
      <c r="M3" s="269"/>
      <c r="N3" s="231" t="s">
        <v>92</v>
      </c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3"/>
      <c r="AC3" s="233"/>
      <c r="AD3" s="233"/>
      <c r="AE3" s="233"/>
      <c r="AF3" s="233"/>
      <c r="AG3" s="234"/>
      <c r="AH3" s="219" t="s">
        <v>174</v>
      </c>
    </row>
    <row r="4" spans="1:45" ht="14.25" thickBot="1" x14ac:dyDescent="0.45">
      <c r="A4" s="9"/>
      <c r="B4" s="218"/>
      <c r="C4" s="21"/>
      <c r="D4" s="22"/>
      <c r="E4" s="20"/>
      <c r="F4" s="20"/>
      <c r="G4" s="20"/>
      <c r="H4" s="20"/>
      <c r="I4" s="20"/>
      <c r="J4" s="20"/>
      <c r="K4" s="23"/>
      <c r="L4" s="128" t="s">
        <v>143</v>
      </c>
      <c r="M4" s="145"/>
      <c r="N4" s="230" t="s">
        <v>84</v>
      </c>
      <c r="O4" s="206" t="s">
        <v>85</v>
      </c>
      <c r="P4" s="206" t="s">
        <v>86</v>
      </c>
      <c r="Q4" s="206" t="s">
        <v>87</v>
      </c>
      <c r="R4" s="206" t="s">
        <v>88</v>
      </c>
      <c r="S4" s="206" t="s">
        <v>89</v>
      </c>
      <c r="T4" s="206" t="s">
        <v>90</v>
      </c>
      <c r="U4" s="206" t="s">
        <v>93</v>
      </c>
      <c r="V4" s="206" t="s">
        <v>94</v>
      </c>
      <c r="W4" s="206" t="s">
        <v>95</v>
      </c>
      <c r="X4" s="206" t="s">
        <v>96</v>
      </c>
      <c r="Y4" s="206" t="s">
        <v>97</v>
      </c>
      <c r="Z4" s="206" t="s">
        <v>166</v>
      </c>
      <c r="AA4" s="206" t="s">
        <v>167</v>
      </c>
      <c r="AB4" s="206" t="s">
        <v>101</v>
      </c>
      <c r="AC4" s="206" t="s">
        <v>102</v>
      </c>
      <c r="AD4" s="206" t="s">
        <v>103</v>
      </c>
      <c r="AE4" s="206" t="s">
        <v>104</v>
      </c>
      <c r="AF4" s="206" t="s">
        <v>105</v>
      </c>
      <c r="AG4" s="206" t="s">
        <v>178</v>
      </c>
      <c r="AH4" s="206" t="s">
        <v>13</v>
      </c>
      <c r="AJ4">
        <v>110</v>
      </c>
      <c r="AK4">
        <v>120</v>
      </c>
      <c r="AL4">
        <v>130</v>
      </c>
      <c r="AM4">
        <v>140</v>
      </c>
      <c r="AN4">
        <v>150</v>
      </c>
      <c r="AO4">
        <v>160</v>
      </c>
      <c r="AP4">
        <v>170</v>
      </c>
      <c r="AQ4">
        <v>180</v>
      </c>
      <c r="AR4">
        <v>190</v>
      </c>
      <c r="AS4">
        <v>200</v>
      </c>
    </row>
    <row r="5" spans="1:45" ht="13.9" x14ac:dyDescent="0.4">
      <c r="A5" s="9"/>
      <c r="B5" s="246"/>
      <c r="C5" s="247"/>
      <c r="D5" s="248"/>
      <c r="E5" s="249"/>
      <c r="F5" s="249"/>
      <c r="G5" s="249"/>
      <c r="H5" s="249"/>
      <c r="I5" s="249"/>
      <c r="J5" s="249"/>
      <c r="K5" s="250"/>
      <c r="L5" s="10">
        <v>2017</v>
      </c>
      <c r="M5" s="146">
        <v>2018</v>
      </c>
      <c r="N5" s="58">
        <v>2018</v>
      </c>
      <c r="O5" s="10">
        <f t="shared" ref="O5:T5" si="0">1+N5</f>
        <v>2019</v>
      </c>
      <c r="P5" s="10">
        <f t="shared" si="0"/>
        <v>2020</v>
      </c>
      <c r="Q5" s="10">
        <f t="shared" si="0"/>
        <v>2021</v>
      </c>
      <c r="R5" s="10">
        <f t="shared" si="0"/>
        <v>2022</v>
      </c>
      <c r="S5" s="10">
        <f t="shared" si="0"/>
        <v>2023</v>
      </c>
      <c r="T5" s="10">
        <f t="shared" si="0"/>
        <v>2024</v>
      </c>
      <c r="U5" s="10">
        <f>1+T5</f>
        <v>2025</v>
      </c>
      <c r="V5" s="10">
        <f>1+U5</f>
        <v>2026</v>
      </c>
      <c r="W5" s="10">
        <f>1+V5</f>
        <v>2027</v>
      </c>
      <c r="X5" s="10" t="s">
        <v>138</v>
      </c>
      <c r="Y5" s="10" t="s">
        <v>139</v>
      </c>
      <c r="Z5" s="10"/>
      <c r="AA5" s="10"/>
      <c r="AB5" s="10"/>
      <c r="AC5" s="10"/>
      <c r="AD5" s="10"/>
      <c r="AE5" s="10"/>
      <c r="AF5" s="108"/>
      <c r="AG5" s="205" t="s">
        <v>179</v>
      </c>
      <c r="AH5" s="113" t="s">
        <v>175</v>
      </c>
    </row>
    <row r="6" spans="1:45" ht="14.25" thickBot="1" x14ac:dyDescent="0.45">
      <c r="A6" s="9"/>
      <c r="B6" s="251"/>
      <c r="C6" s="252"/>
      <c r="D6" s="253"/>
      <c r="E6" s="254"/>
      <c r="F6" s="254"/>
      <c r="G6" s="254"/>
      <c r="H6" s="254"/>
      <c r="I6" s="254"/>
      <c r="J6" s="254"/>
      <c r="K6" s="254"/>
      <c r="L6" s="11" t="s">
        <v>72</v>
      </c>
      <c r="M6" s="62"/>
      <c r="N6" s="59" t="s">
        <v>72</v>
      </c>
      <c r="O6" s="11" t="s">
        <v>72</v>
      </c>
      <c r="P6" s="11" t="s">
        <v>72</v>
      </c>
      <c r="Q6" s="11" t="s">
        <v>72</v>
      </c>
      <c r="R6" s="11" t="s">
        <v>72</v>
      </c>
      <c r="S6" s="11" t="s">
        <v>72</v>
      </c>
      <c r="T6" s="11" t="s">
        <v>72</v>
      </c>
      <c r="U6" s="11" t="s">
        <v>72</v>
      </c>
      <c r="V6" s="11" t="s">
        <v>72</v>
      </c>
      <c r="W6" s="11" t="s">
        <v>72</v>
      </c>
      <c r="X6" s="11" t="s">
        <v>78</v>
      </c>
      <c r="Y6" s="11" t="s">
        <v>78</v>
      </c>
      <c r="Z6" s="11"/>
      <c r="AA6" s="11"/>
      <c r="AB6" s="11"/>
      <c r="AC6" s="11"/>
      <c r="AD6" s="11"/>
      <c r="AE6" s="11"/>
      <c r="AF6" s="11"/>
      <c r="AG6" s="11"/>
      <c r="AH6" s="11" t="s">
        <v>72</v>
      </c>
    </row>
    <row r="7" spans="1:45" ht="15" x14ac:dyDescent="0.4">
      <c r="A7" s="9"/>
      <c r="B7" s="2"/>
      <c r="C7" s="3"/>
      <c r="D7" s="3"/>
      <c r="E7" s="3"/>
      <c r="F7" s="3"/>
      <c r="G7" s="3"/>
      <c r="H7" s="3"/>
      <c r="I7" s="3"/>
      <c r="J7" s="3"/>
      <c r="K7" s="126"/>
      <c r="L7" s="30"/>
      <c r="M7" s="147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45" ht="15" hidden="1" x14ac:dyDescent="0.4">
      <c r="A8" s="9"/>
      <c r="B8" s="8">
        <v>1</v>
      </c>
      <c r="C8" s="4" t="s">
        <v>80</v>
      </c>
      <c r="D8" s="5"/>
      <c r="E8" s="5"/>
      <c r="F8" s="5"/>
      <c r="G8" s="5"/>
      <c r="H8" s="5"/>
      <c r="I8" s="5"/>
      <c r="J8" s="5"/>
      <c r="K8" s="12"/>
      <c r="L8" s="16"/>
      <c r="M8" s="148"/>
      <c r="N8" s="2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45" ht="13.9" hidden="1" x14ac:dyDescent="0.4">
      <c r="A9" s="9"/>
      <c r="B9" s="7"/>
      <c r="C9" s="5"/>
      <c r="D9" s="129" t="s">
        <v>73</v>
      </c>
      <c r="E9" s="130"/>
      <c r="F9" s="130"/>
      <c r="G9" s="130"/>
      <c r="H9" s="130"/>
      <c r="I9" s="130"/>
      <c r="J9" s="130"/>
      <c r="K9" s="131"/>
      <c r="L9" s="132"/>
      <c r="M9" s="149"/>
      <c r="N9" s="15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6"/>
      <c r="AA9" s="132"/>
      <c r="AB9" s="132"/>
      <c r="AC9" s="132"/>
      <c r="AD9" s="132"/>
      <c r="AE9" s="132"/>
      <c r="AF9" s="132"/>
      <c r="AG9" s="207">
        <f>SUM(L9:AF9) - (0.2*AF9)</f>
        <v>0</v>
      </c>
      <c r="AH9" s="207">
        <f t="shared" ref="AH9:AH15" si="1">SUM(N9:AF9)</f>
        <v>0</v>
      </c>
    </row>
    <row r="10" spans="1:45" ht="13.9" hidden="1" x14ac:dyDescent="0.4">
      <c r="A10" s="9"/>
      <c r="B10" s="7"/>
      <c r="C10" s="4"/>
      <c r="D10" s="139" t="s">
        <v>83</v>
      </c>
      <c r="E10" s="140"/>
      <c r="F10" s="140"/>
      <c r="G10" s="140"/>
      <c r="H10" s="140"/>
      <c r="I10" s="140"/>
      <c r="J10" s="140"/>
      <c r="K10" s="141"/>
      <c r="L10" s="138"/>
      <c r="M10" s="150"/>
      <c r="N10" s="154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208">
        <f t="shared" ref="AG10:AG15" si="2">SUM(L10:AF10) - (0.2*AF10)</f>
        <v>0</v>
      </c>
      <c r="AH10" s="208">
        <f t="shared" si="1"/>
        <v>0</v>
      </c>
    </row>
    <row r="11" spans="1:45" ht="13.9" hidden="1" x14ac:dyDescent="0.4">
      <c r="A11" s="9"/>
      <c r="B11" s="7"/>
      <c r="C11" s="4"/>
      <c r="D11" s="134" t="s">
        <v>74</v>
      </c>
      <c r="E11" s="135"/>
      <c r="F11" s="135"/>
      <c r="G11" s="135"/>
      <c r="H11" s="135"/>
      <c r="I11" s="135"/>
      <c r="J11" s="135"/>
      <c r="K11" s="137"/>
      <c r="L11" s="138"/>
      <c r="M11" s="150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38"/>
      <c r="Y11" s="138"/>
      <c r="Z11" s="138"/>
      <c r="AA11" s="138"/>
      <c r="AB11" s="138"/>
      <c r="AC11" s="138"/>
      <c r="AD11" s="138"/>
      <c r="AE11" s="138"/>
      <c r="AF11" s="138"/>
      <c r="AG11" s="208">
        <f t="shared" si="2"/>
        <v>0</v>
      </c>
      <c r="AH11" s="208">
        <f t="shared" si="1"/>
        <v>0</v>
      </c>
    </row>
    <row r="12" spans="1:45" ht="13.9" hidden="1" x14ac:dyDescent="0.4">
      <c r="A12" s="9"/>
      <c r="B12" s="7"/>
      <c r="C12" s="4"/>
      <c r="D12" s="134" t="s">
        <v>106</v>
      </c>
      <c r="E12" s="135"/>
      <c r="F12" s="135"/>
      <c r="G12" s="135"/>
      <c r="H12" s="135"/>
      <c r="I12" s="135"/>
      <c r="J12" s="135"/>
      <c r="K12" s="137"/>
      <c r="L12" s="138"/>
      <c r="M12" s="150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38"/>
      <c r="Y12" s="138"/>
      <c r="Z12" s="138"/>
      <c r="AA12" s="138"/>
      <c r="AB12" s="138"/>
      <c r="AC12" s="138"/>
      <c r="AD12" s="138"/>
      <c r="AE12" s="138"/>
      <c r="AF12" s="138"/>
      <c r="AG12" s="208">
        <f t="shared" si="2"/>
        <v>0</v>
      </c>
      <c r="AH12" s="208">
        <f t="shared" si="1"/>
        <v>0</v>
      </c>
    </row>
    <row r="13" spans="1:45" ht="13.9" hidden="1" x14ac:dyDescent="0.4">
      <c r="A13" s="9"/>
      <c r="B13" s="7"/>
      <c r="C13" s="4"/>
      <c r="D13" s="134" t="s">
        <v>77</v>
      </c>
      <c r="E13" s="135"/>
      <c r="F13" s="135"/>
      <c r="G13" s="135"/>
      <c r="H13" s="135"/>
      <c r="I13" s="135"/>
      <c r="J13" s="135"/>
      <c r="K13" s="137"/>
      <c r="L13" s="138"/>
      <c r="M13" s="150"/>
      <c r="N13" s="154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42"/>
      <c r="AA13" s="138"/>
      <c r="AB13" s="138"/>
      <c r="AC13" s="138"/>
      <c r="AD13" s="138"/>
      <c r="AE13" s="138"/>
      <c r="AF13" s="138"/>
      <c r="AG13" s="208">
        <f t="shared" si="2"/>
        <v>0</v>
      </c>
      <c r="AH13" s="208">
        <f t="shared" si="1"/>
        <v>0</v>
      </c>
    </row>
    <row r="14" spans="1:45" ht="13.9" hidden="1" x14ac:dyDescent="0.4">
      <c r="A14" s="9"/>
      <c r="B14" s="7"/>
      <c r="C14" s="4"/>
      <c r="D14" s="134" t="s">
        <v>75</v>
      </c>
      <c r="E14" s="135"/>
      <c r="F14" s="135"/>
      <c r="G14" s="135"/>
      <c r="H14" s="135"/>
      <c r="I14" s="135"/>
      <c r="J14" s="135"/>
      <c r="K14" s="137"/>
      <c r="L14" s="138"/>
      <c r="M14" s="150"/>
      <c r="N14" s="154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42"/>
      <c r="AA14" s="138"/>
      <c r="AB14" s="138"/>
      <c r="AC14" s="138"/>
      <c r="AD14" s="138"/>
      <c r="AE14" s="138"/>
      <c r="AF14" s="138"/>
      <c r="AG14" s="208">
        <f t="shared" si="2"/>
        <v>0</v>
      </c>
      <c r="AH14" s="208">
        <f t="shared" si="1"/>
        <v>0</v>
      </c>
    </row>
    <row r="15" spans="1:45" ht="13.9" hidden="1" x14ac:dyDescent="0.4">
      <c r="A15" s="9"/>
      <c r="B15" s="7"/>
      <c r="C15" s="4"/>
      <c r="D15" s="134" t="s">
        <v>76</v>
      </c>
      <c r="E15" s="135"/>
      <c r="F15" s="135"/>
      <c r="G15" s="135"/>
      <c r="H15" s="135"/>
      <c r="I15" s="135"/>
      <c r="J15" s="135"/>
      <c r="K15" s="137"/>
      <c r="L15" s="138"/>
      <c r="M15" s="150"/>
      <c r="N15" s="154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208">
        <f t="shared" si="2"/>
        <v>0</v>
      </c>
      <c r="AH15" s="208">
        <f t="shared" si="1"/>
        <v>0</v>
      </c>
    </row>
    <row r="16" spans="1:45" ht="13.9" x14ac:dyDescent="0.4">
      <c r="A16" s="9"/>
      <c r="B16" s="7"/>
      <c r="C16" s="4"/>
      <c r="D16" s="6"/>
      <c r="E16" s="5"/>
      <c r="F16" s="5"/>
      <c r="G16" s="5"/>
      <c r="H16" s="5"/>
      <c r="I16" s="5"/>
      <c r="J16" s="5"/>
      <c r="K16" s="12"/>
      <c r="L16" s="16"/>
      <c r="M16" s="148"/>
      <c r="N16" s="2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45" ht="13.9" x14ac:dyDescent="0.4">
      <c r="A17" s="9"/>
      <c r="B17" s="7">
        <v>1</v>
      </c>
      <c r="C17" s="4" t="s">
        <v>79</v>
      </c>
      <c r="D17" s="6"/>
      <c r="E17" s="5"/>
      <c r="F17" s="5"/>
      <c r="G17" s="5"/>
      <c r="H17" s="5"/>
      <c r="I17" s="5"/>
      <c r="J17" s="5"/>
      <c r="K17" s="143"/>
      <c r="L17" s="16"/>
      <c r="M17" s="148"/>
      <c r="N17" s="2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spans="1:45" ht="13.9" x14ac:dyDescent="0.4">
      <c r="A18" s="9"/>
      <c r="B18" s="7"/>
      <c r="C18" s="4"/>
      <c r="D18" s="129" t="s">
        <v>81</v>
      </c>
      <c r="E18" s="130"/>
      <c r="F18" s="130"/>
      <c r="G18" s="130"/>
      <c r="H18" s="130"/>
      <c r="I18" s="130"/>
      <c r="J18" s="130"/>
      <c r="K18" s="133"/>
      <c r="L18" s="151"/>
      <c r="M18" s="151">
        <v>2000</v>
      </c>
      <c r="N18" s="26"/>
      <c r="O18" s="16"/>
      <c r="P18" s="16"/>
      <c r="Q18" s="16"/>
      <c r="R18" s="16"/>
      <c r="S18" s="16"/>
      <c r="T18" s="16"/>
      <c r="U18" s="16"/>
      <c r="V18" s="16">
        <v>2000</v>
      </c>
      <c r="W18" s="16"/>
      <c r="X18" s="16">
        <v>2000</v>
      </c>
      <c r="Y18" s="210">
        <v>2000</v>
      </c>
      <c r="Z18" s="16">
        <v>2000</v>
      </c>
      <c r="AA18" s="16">
        <v>2000</v>
      </c>
      <c r="AB18" s="16">
        <v>2000</v>
      </c>
      <c r="AC18" s="16">
        <v>2000</v>
      </c>
      <c r="AD18" s="16">
        <v>2000</v>
      </c>
      <c r="AE18" s="16">
        <v>2000</v>
      </c>
      <c r="AF18" s="16">
        <v>2000</v>
      </c>
      <c r="AG18" s="136">
        <f>SUM(L18:AF18)</f>
        <v>22000</v>
      </c>
      <c r="AH18" s="136">
        <f>SUM(M18:AF18)</f>
        <v>22000</v>
      </c>
      <c r="AJ18">
        <v>1000</v>
      </c>
      <c r="AK18">
        <v>1000</v>
      </c>
      <c r="AL18">
        <v>1000</v>
      </c>
      <c r="AM18">
        <v>1000</v>
      </c>
      <c r="AN18">
        <v>1000</v>
      </c>
      <c r="AO18">
        <v>1000</v>
      </c>
      <c r="AP18">
        <v>1000</v>
      </c>
      <c r="AQ18">
        <v>1000</v>
      </c>
      <c r="AR18">
        <v>1000</v>
      </c>
      <c r="AS18">
        <v>1000</v>
      </c>
    </row>
    <row r="19" spans="1:45" ht="13.9" x14ac:dyDescent="0.4">
      <c r="A19" s="9"/>
      <c r="B19" s="7"/>
      <c r="C19" s="4"/>
      <c r="D19" s="134" t="s">
        <v>132</v>
      </c>
      <c r="E19" s="135"/>
      <c r="F19" s="135"/>
      <c r="G19" s="135"/>
      <c r="H19" s="135"/>
      <c r="I19" s="135"/>
      <c r="J19" s="135"/>
      <c r="K19" s="158" t="s">
        <v>180</v>
      </c>
      <c r="L19" s="150"/>
      <c r="M19" s="150">
        <v>2000</v>
      </c>
      <c r="N19" s="154"/>
      <c r="O19" s="222"/>
      <c r="P19" s="138"/>
      <c r="Q19" s="138"/>
      <c r="R19" s="138"/>
      <c r="S19" s="138"/>
      <c r="T19" s="138"/>
      <c r="U19" s="138"/>
      <c r="V19" s="138">
        <v>2000</v>
      </c>
      <c r="W19" s="138"/>
      <c r="X19" s="138">
        <v>2000</v>
      </c>
      <c r="Y19" s="209">
        <v>2000</v>
      </c>
      <c r="Z19" s="138">
        <v>2000</v>
      </c>
      <c r="AA19" s="138">
        <v>2000</v>
      </c>
      <c r="AB19" s="138">
        <v>2000</v>
      </c>
      <c r="AC19" s="138">
        <v>2000</v>
      </c>
      <c r="AD19" s="138">
        <v>2000</v>
      </c>
      <c r="AE19" s="138">
        <v>2000</v>
      </c>
      <c r="AF19" s="138">
        <v>2000</v>
      </c>
      <c r="AG19" s="142">
        <f t="shared" ref="AG19:AG23" si="3">SUM(L19:AF19)</f>
        <v>22000</v>
      </c>
      <c r="AH19" s="136">
        <f t="shared" ref="AH19:AH32" si="4">SUM(M19:AF19)</f>
        <v>22000</v>
      </c>
      <c r="AJ19">
        <v>1000</v>
      </c>
      <c r="AK19">
        <v>1000</v>
      </c>
      <c r="AL19">
        <v>1000</v>
      </c>
      <c r="AM19">
        <v>1000</v>
      </c>
      <c r="AN19">
        <v>1000</v>
      </c>
      <c r="AO19">
        <v>1000</v>
      </c>
      <c r="AP19">
        <v>1000</v>
      </c>
      <c r="AQ19">
        <v>1000</v>
      </c>
      <c r="AR19">
        <v>1000</v>
      </c>
      <c r="AS19">
        <v>1000</v>
      </c>
    </row>
    <row r="20" spans="1:45" s="265" customFormat="1" ht="28.9" customHeight="1" x14ac:dyDescent="0.35">
      <c r="A20" s="255"/>
      <c r="B20" s="256"/>
      <c r="C20" s="257"/>
      <c r="D20" s="270" t="s">
        <v>161</v>
      </c>
      <c r="E20" s="270"/>
      <c r="F20" s="270"/>
      <c r="G20" s="270"/>
      <c r="H20" s="270"/>
      <c r="I20" s="270"/>
      <c r="J20" s="270"/>
      <c r="K20" s="266" t="s">
        <v>177</v>
      </c>
      <c r="L20" s="259"/>
      <c r="M20" s="259"/>
      <c r="N20" s="260"/>
      <c r="O20" s="261"/>
      <c r="P20" s="262"/>
      <c r="Q20" s="262"/>
      <c r="R20" s="262"/>
      <c r="S20" s="262"/>
      <c r="T20" s="262"/>
      <c r="U20" s="262"/>
      <c r="V20" s="260">
        <f>ROUND(0.3*(SUM(N46:U46,V21:V43,V18:V19,W46)-SUM(X49:AF49)),-2)</f>
        <v>378900</v>
      </c>
      <c r="W20" s="262"/>
      <c r="X20" s="262"/>
      <c r="Y20" s="267"/>
      <c r="Z20" s="262"/>
      <c r="AA20" s="262"/>
      <c r="AB20" s="262"/>
      <c r="AC20" s="262"/>
      <c r="AD20" s="262"/>
      <c r="AE20" s="262"/>
      <c r="AF20" s="262"/>
      <c r="AG20" s="263">
        <f t="shared" si="3"/>
        <v>378900</v>
      </c>
      <c r="AH20" s="264">
        <f t="shared" si="4"/>
        <v>378900</v>
      </c>
    </row>
    <row r="21" spans="1:45" s="265" customFormat="1" ht="29.65" customHeight="1" x14ac:dyDescent="0.35">
      <c r="A21" s="255"/>
      <c r="B21" s="256"/>
      <c r="C21" s="257"/>
      <c r="D21" s="270" t="s">
        <v>131</v>
      </c>
      <c r="E21" s="270"/>
      <c r="F21" s="270"/>
      <c r="G21" s="270"/>
      <c r="H21" s="270"/>
      <c r="I21" s="270"/>
      <c r="J21" s="270"/>
      <c r="K21" s="258" t="s">
        <v>181</v>
      </c>
      <c r="L21" s="259"/>
      <c r="M21" s="259">
        <v>4000</v>
      </c>
      <c r="N21" s="260"/>
      <c r="O21" s="261"/>
      <c r="P21" s="262"/>
      <c r="Q21" s="262"/>
      <c r="R21" s="262"/>
      <c r="S21" s="262"/>
      <c r="T21" s="262"/>
      <c r="U21" s="262"/>
      <c r="V21" s="262">
        <v>4000</v>
      </c>
      <c r="W21" s="262"/>
      <c r="X21" s="262">
        <v>4000</v>
      </c>
      <c r="Y21" s="262">
        <v>4000</v>
      </c>
      <c r="Z21" s="262">
        <v>4000</v>
      </c>
      <c r="AA21" s="262">
        <v>4000</v>
      </c>
      <c r="AB21" s="262">
        <v>4000</v>
      </c>
      <c r="AC21" s="262">
        <v>4000</v>
      </c>
      <c r="AD21" s="262">
        <v>4000</v>
      </c>
      <c r="AE21" s="262">
        <v>4000</v>
      </c>
      <c r="AF21" s="262">
        <v>4000</v>
      </c>
      <c r="AG21" s="263">
        <f t="shared" si="3"/>
        <v>44000</v>
      </c>
      <c r="AH21" s="264">
        <f t="shared" si="4"/>
        <v>44000</v>
      </c>
      <c r="AJ21" s="265">
        <v>3000</v>
      </c>
      <c r="AK21" s="265">
        <v>3000</v>
      </c>
      <c r="AL21" s="265">
        <v>3000</v>
      </c>
      <c r="AM21" s="265">
        <v>3000</v>
      </c>
      <c r="AN21" s="265">
        <v>3000</v>
      </c>
      <c r="AO21" s="265">
        <v>3000</v>
      </c>
      <c r="AP21" s="265">
        <v>3000</v>
      </c>
      <c r="AQ21" s="265">
        <v>3000</v>
      </c>
      <c r="AR21" s="265">
        <v>3000</v>
      </c>
      <c r="AS21" s="265">
        <v>3000</v>
      </c>
    </row>
    <row r="22" spans="1:45" ht="13.9" x14ac:dyDescent="0.4">
      <c r="A22" s="9"/>
      <c r="B22" s="7"/>
      <c r="C22" s="4"/>
      <c r="D22" s="134" t="s">
        <v>184</v>
      </c>
      <c r="E22" s="135"/>
      <c r="F22" s="135"/>
      <c r="G22" s="135"/>
      <c r="H22" s="135"/>
      <c r="I22" s="135"/>
      <c r="J22" s="135"/>
      <c r="K22" s="214" t="s">
        <v>142</v>
      </c>
      <c r="L22" s="152"/>
      <c r="M22" s="152"/>
      <c r="N22" s="225"/>
      <c r="O22" s="223"/>
      <c r="P22" s="142"/>
      <c r="Q22" s="142"/>
      <c r="R22" s="142"/>
      <c r="S22" s="142"/>
      <c r="T22" s="142"/>
      <c r="U22" s="142"/>
      <c r="V22" s="142">
        <v>64740</v>
      </c>
      <c r="W22" s="142"/>
      <c r="X22" s="142"/>
      <c r="Y22" s="142">
        <v>64740</v>
      </c>
      <c r="Z22" s="142"/>
      <c r="AA22" s="142">
        <v>64740</v>
      </c>
      <c r="AB22" s="142"/>
      <c r="AC22" s="142">
        <v>64740</v>
      </c>
      <c r="AD22" s="142"/>
      <c r="AE22" s="142">
        <v>64740</v>
      </c>
      <c r="AF22" s="142"/>
      <c r="AG22" s="142">
        <f t="shared" si="3"/>
        <v>323700</v>
      </c>
      <c r="AH22" s="136">
        <f t="shared" si="4"/>
        <v>323700</v>
      </c>
      <c r="AJ22">
        <v>50000</v>
      </c>
      <c r="AL22">
        <v>50000</v>
      </c>
      <c r="AN22">
        <v>50000</v>
      </c>
      <c r="AP22">
        <v>50000</v>
      </c>
      <c r="AR22">
        <v>50000</v>
      </c>
    </row>
    <row r="23" spans="1:45" ht="13.9" x14ac:dyDescent="0.4">
      <c r="A23" s="9"/>
      <c r="B23" s="7"/>
      <c r="C23" s="4"/>
      <c r="D23" s="134" t="s">
        <v>130</v>
      </c>
      <c r="E23" s="135"/>
      <c r="F23" s="135"/>
      <c r="G23" s="135"/>
      <c r="H23" s="135"/>
      <c r="I23" s="135"/>
      <c r="J23" s="135"/>
      <c r="K23" s="215" t="s">
        <v>181</v>
      </c>
      <c r="L23" s="152"/>
      <c r="M23" s="152">
        <v>15000</v>
      </c>
      <c r="N23" s="225"/>
      <c r="O23" s="223"/>
      <c r="P23" s="142"/>
      <c r="Q23" s="142"/>
      <c r="R23" s="142"/>
      <c r="S23" s="142"/>
      <c r="T23" s="142"/>
      <c r="U23" s="142"/>
      <c r="V23" s="142">
        <v>15000</v>
      </c>
      <c r="W23" s="142"/>
      <c r="X23" s="142">
        <v>15000</v>
      </c>
      <c r="Y23" s="142">
        <v>15000</v>
      </c>
      <c r="Z23" s="142">
        <v>15000</v>
      </c>
      <c r="AA23" s="142">
        <v>15000</v>
      </c>
      <c r="AB23" s="142">
        <v>15000</v>
      </c>
      <c r="AC23" s="142">
        <v>15000</v>
      </c>
      <c r="AD23" s="142">
        <v>15000</v>
      </c>
      <c r="AE23" s="142">
        <v>15000</v>
      </c>
      <c r="AF23" s="142">
        <v>15000</v>
      </c>
      <c r="AG23" s="142">
        <f t="shared" si="3"/>
        <v>165000</v>
      </c>
      <c r="AH23" s="136">
        <f t="shared" si="4"/>
        <v>165000</v>
      </c>
      <c r="AJ23">
        <v>15000</v>
      </c>
      <c r="AK23">
        <v>15000</v>
      </c>
      <c r="AL23">
        <v>15000</v>
      </c>
      <c r="AM23">
        <v>15000</v>
      </c>
      <c r="AN23">
        <v>15000</v>
      </c>
      <c r="AO23">
        <v>15000</v>
      </c>
      <c r="AP23">
        <v>15000</v>
      </c>
      <c r="AQ23">
        <v>15000</v>
      </c>
      <c r="AR23">
        <v>15000</v>
      </c>
      <c r="AS23">
        <v>15000</v>
      </c>
    </row>
    <row r="24" spans="1:45" ht="13.9" x14ac:dyDescent="0.4">
      <c r="A24" s="9"/>
      <c r="B24" s="7"/>
      <c r="C24" s="4"/>
      <c r="D24" s="6"/>
      <c r="E24" s="5"/>
      <c r="F24" s="5"/>
      <c r="G24" s="5"/>
      <c r="H24" s="5"/>
      <c r="I24" s="5"/>
      <c r="J24" s="5"/>
      <c r="K24" s="12"/>
      <c r="L24" s="16"/>
      <c r="M24" s="148"/>
      <c r="N24" s="226"/>
      <c r="O24" s="2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36">
        <f t="shared" si="4"/>
        <v>0</v>
      </c>
    </row>
    <row r="25" spans="1:45" ht="13.9" x14ac:dyDescent="0.4">
      <c r="A25" s="9"/>
      <c r="B25" s="7">
        <v>2</v>
      </c>
      <c r="C25" s="4" t="s">
        <v>134</v>
      </c>
      <c r="D25" s="6"/>
      <c r="E25" s="5"/>
      <c r="F25" s="5"/>
      <c r="G25" s="5"/>
      <c r="H25" s="5"/>
      <c r="I25" s="5"/>
      <c r="J25" s="5"/>
      <c r="K25" s="143"/>
      <c r="L25" s="16"/>
      <c r="M25" s="148"/>
      <c r="N25" s="226"/>
      <c r="O25" s="2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36">
        <f t="shared" si="4"/>
        <v>0</v>
      </c>
    </row>
    <row r="26" spans="1:45" ht="13.9" x14ac:dyDescent="0.4">
      <c r="A26" s="9"/>
      <c r="B26" s="7"/>
      <c r="C26" s="4"/>
      <c r="D26" s="129" t="s">
        <v>60</v>
      </c>
      <c r="E26" s="130"/>
      <c r="F26" s="130"/>
      <c r="G26" s="130"/>
      <c r="H26" s="130"/>
      <c r="I26" s="130"/>
      <c r="J26" s="130"/>
      <c r="K26" s="133"/>
      <c r="L26" s="136"/>
      <c r="M26" s="151"/>
      <c r="N26" s="227"/>
      <c r="O26" s="224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>
        <f t="shared" si="4"/>
        <v>0</v>
      </c>
    </row>
    <row r="27" spans="1:45" ht="13.9" x14ac:dyDescent="0.4">
      <c r="A27" s="9"/>
      <c r="B27" s="7"/>
      <c r="C27" s="4"/>
      <c r="D27" s="6"/>
      <c r="E27" s="130" t="s">
        <v>9</v>
      </c>
      <c r="F27" s="130"/>
      <c r="G27" s="130"/>
      <c r="H27" s="130"/>
      <c r="I27" s="130"/>
      <c r="J27" s="130"/>
      <c r="K27" s="213" t="s">
        <v>115</v>
      </c>
      <c r="L27" s="136">
        <f>+'Monitoring Calcs'!H10</f>
        <v>11710</v>
      </c>
      <c r="M27" s="151">
        <f>+'Monitoring Calcs'!I10</f>
        <v>0</v>
      </c>
      <c r="N27" s="227">
        <f>+'Monitoring Calcs'!J10</f>
        <v>11710</v>
      </c>
      <c r="O27" s="224">
        <f>+'Monitoring Calcs'!K10</f>
        <v>0</v>
      </c>
      <c r="P27" s="136">
        <f>+'Monitoring Calcs'!L10</f>
        <v>11710</v>
      </c>
      <c r="Q27" s="136">
        <f>+'Monitoring Calcs'!M10</f>
        <v>0</v>
      </c>
      <c r="R27" s="136">
        <f>+'Monitoring Calcs'!N10</f>
        <v>11710</v>
      </c>
      <c r="S27" s="136">
        <f>+'Monitoring Calcs'!O10</f>
        <v>0</v>
      </c>
      <c r="T27" s="136">
        <f>+'Monitoring Calcs'!P10</f>
        <v>11710</v>
      </c>
      <c r="U27" s="136">
        <f>+'Monitoring Calcs'!Q10</f>
        <v>0</v>
      </c>
      <c r="V27" s="136">
        <f>+'Monitoring Calcs'!R10</f>
        <v>0</v>
      </c>
      <c r="W27" s="136">
        <f>+'Monitoring Calcs'!S10</f>
        <v>0</v>
      </c>
      <c r="X27" s="136">
        <f>+'Monitoring Calcs'!T10</f>
        <v>46840</v>
      </c>
      <c r="Y27" s="136">
        <f>+'Monitoring Calcs'!U10</f>
        <v>46840</v>
      </c>
      <c r="Z27" s="136">
        <f>+'Monitoring Calcs'!V10</f>
        <v>46840</v>
      </c>
      <c r="AA27" s="136">
        <f>+'Monitoring Calcs'!W10</f>
        <v>46840</v>
      </c>
      <c r="AB27" s="136">
        <f>+'Monitoring Calcs'!X10</f>
        <v>46840</v>
      </c>
      <c r="AC27" s="136">
        <f>+'Monitoring Calcs'!Y10</f>
        <v>46840</v>
      </c>
      <c r="AD27" s="136">
        <f>+'Monitoring Calcs'!Z10</f>
        <v>46840</v>
      </c>
      <c r="AE27" s="136">
        <f>+'Monitoring Calcs'!AA10</f>
        <v>46840</v>
      </c>
      <c r="AF27" s="136">
        <f>+'Monitoring Calcs'!AB10</f>
        <v>46840</v>
      </c>
      <c r="AG27" s="136">
        <f t="shared" ref="AG27:AG28" si="5">SUM(L27:AF27)</f>
        <v>480110</v>
      </c>
      <c r="AH27" s="136">
        <f>SUM(M27:AF27)</f>
        <v>468400</v>
      </c>
      <c r="AJ27">
        <v>45400</v>
      </c>
      <c r="AK27">
        <v>45400</v>
      </c>
      <c r="AL27">
        <v>45400</v>
      </c>
      <c r="AM27">
        <v>45400</v>
      </c>
      <c r="AN27">
        <v>45400</v>
      </c>
      <c r="AO27">
        <v>45400</v>
      </c>
      <c r="AP27">
        <v>45400</v>
      </c>
      <c r="AQ27">
        <v>45400</v>
      </c>
      <c r="AR27">
        <v>45400</v>
      </c>
      <c r="AS27">
        <v>45400</v>
      </c>
    </row>
    <row r="28" spans="1:45" ht="13.9" x14ac:dyDescent="0.4">
      <c r="A28" s="9"/>
      <c r="B28" s="7"/>
      <c r="C28" s="4"/>
      <c r="D28" s="6"/>
      <c r="E28" s="135" t="s">
        <v>108</v>
      </c>
      <c r="F28" s="135"/>
      <c r="G28" s="135"/>
      <c r="H28" s="135"/>
      <c r="I28" s="135"/>
      <c r="J28" s="135"/>
      <c r="K28" s="212" t="s">
        <v>114</v>
      </c>
      <c r="L28" s="142">
        <f>+'Monitoring Calcs'!H11</f>
        <v>0</v>
      </c>
      <c r="M28" s="152">
        <f>+'Monitoring Calcs'!I11</f>
        <v>0</v>
      </c>
      <c r="N28" s="225">
        <f>+'Monitoring Calcs'!J11</f>
        <v>0</v>
      </c>
      <c r="O28" s="223">
        <f>+'Monitoring Calcs'!K11</f>
        <v>0</v>
      </c>
      <c r="P28" s="142">
        <f>+'Monitoring Calcs'!L11</f>
        <v>0</v>
      </c>
      <c r="Q28" s="142">
        <f>+'Monitoring Calcs'!M11</f>
        <v>0</v>
      </c>
      <c r="R28" s="142">
        <f>+'Monitoring Calcs'!N11</f>
        <v>0</v>
      </c>
      <c r="S28" s="142">
        <f>+'Monitoring Calcs'!O11</f>
        <v>0</v>
      </c>
      <c r="T28" s="142">
        <f>+'Monitoring Calcs'!P11</f>
        <v>0</v>
      </c>
      <c r="U28" s="142">
        <f>+'Monitoring Calcs'!Q11</f>
        <v>0</v>
      </c>
      <c r="V28" s="142">
        <f>+'Monitoring Calcs'!R11</f>
        <v>45940</v>
      </c>
      <c r="W28" s="142">
        <f>+'Monitoring Calcs'!S11</f>
        <v>0</v>
      </c>
      <c r="X28" s="142">
        <f>+'Monitoring Calcs'!T11</f>
        <v>45940</v>
      </c>
      <c r="Y28" s="142">
        <f>+'Monitoring Calcs'!U11</f>
        <v>45940</v>
      </c>
      <c r="Z28" s="142">
        <f>+'Monitoring Calcs'!V11</f>
        <v>45940</v>
      </c>
      <c r="AA28" s="142">
        <f>+'Monitoring Calcs'!W11</f>
        <v>45940</v>
      </c>
      <c r="AB28" s="142">
        <f>+'Monitoring Calcs'!X11</f>
        <v>45940</v>
      </c>
      <c r="AC28" s="142">
        <f>+'Monitoring Calcs'!Y11</f>
        <v>45940</v>
      </c>
      <c r="AD28" s="142">
        <f>+'Monitoring Calcs'!Z11</f>
        <v>45940</v>
      </c>
      <c r="AE28" s="142">
        <f>+'Monitoring Calcs'!AA11</f>
        <v>45940</v>
      </c>
      <c r="AF28" s="142">
        <f>+'Monitoring Calcs'!AB11</f>
        <v>45940</v>
      </c>
      <c r="AG28" s="142">
        <f t="shared" si="5"/>
        <v>459400</v>
      </c>
      <c r="AH28" s="136">
        <f t="shared" si="4"/>
        <v>459400</v>
      </c>
      <c r="AJ28">
        <v>43840</v>
      </c>
      <c r="AK28">
        <v>43840</v>
      </c>
      <c r="AL28">
        <v>43840</v>
      </c>
      <c r="AM28">
        <v>43840</v>
      </c>
      <c r="AN28">
        <v>43840</v>
      </c>
      <c r="AO28">
        <v>43840</v>
      </c>
      <c r="AP28">
        <v>43840</v>
      </c>
      <c r="AQ28">
        <v>43840</v>
      </c>
      <c r="AR28">
        <v>43840</v>
      </c>
      <c r="AS28">
        <v>43840</v>
      </c>
    </row>
    <row r="29" spans="1:45" ht="13.9" x14ac:dyDescent="0.4">
      <c r="A29" s="9"/>
      <c r="B29" s="7"/>
      <c r="C29" s="4"/>
      <c r="D29" s="134" t="s">
        <v>29</v>
      </c>
      <c r="E29" s="135"/>
      <c r="F29" s="135"/>
      <c r="G29" s="135"/>
      <c r="H29" s="135"/>
      <c r="I29" s="135"/>
      <c r="J29" s="135"/>
      <c r="K29" s="137"/>
      <c r="L29" s="142"/>
      <c r="M29" s="152"/>
      <c r="N29" s="225"/>
      <c r="O29" s="223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36">
        <f t="shared" si="4"/>
        <v>0</v>
      </c>
    </row>
    <row r="30" spans="1:45" ht="13.9" x14ac:dyDescent="0.4">
      <c r="A30" s="9"/>
      <c r="B30" s="7"/>
      <c r="C30" s="4"/>
      <c r="D30" s="6"/>
      <c r="E30" s="135" t="s">
        <v>150</v>
      </c>
      <c r="F30" s="135"/>
      <c r="G30" s="135"/>
      <c r="H30" s="135"/>
      <c r="I30" s="135"/>
      <c r="J30" s="135"/>
      <c r="K30" s="213" t="s">
        <v>115</v>
      </c>
      <c r="L30" s="142">
        <f>+'Monitoring Calcs'!H12*2</f>
        <v>32180</v>
      </c>
      <c r="M30" s="152">
        <f>+'Monitoring Calcs'!I12</f>
        <v>0</v>
      </c>
      <c r="N30" s="225">
        <f>+'Monitoring Calcs'!J12</f>
        <v>16090</v>
      </c>
      <c r="O30" s="223">
        <f>+'Monitoring Calcs'!K12</f>
        <v>0</v>
      </c>
      <c r="P30" s="142">
        <f>+'Monitoring Calcs'!L12</f>
        <v>16090</v>
      </c>
      <c r="Q30" s="142">
        <f>+'Monitoring Calcs'!M12</f>
        <v>0</v>
      </c>
      <c r="R30" s="142">
        <f>+'Monitoring Calcs'!N12</f>
        <v>16090</v>
      </c>
      <c r="S30" s="142">
        <f>+'Monitoring Calcs'!O12</f>
        <v>0</v>
      </c>
      <c r="T30" s="142">
        <f>+'Monitoring Calcs'!P12</f>
        <v>16090</v>
      </c>
      <c r="U30" s="142">
        <f>+'Monitoring Calcs'!Q12</f>
        <v>0</v>
      </c>
      <c r="V30" s="142">
        <f>+'Monitoring Calcs'!R12</f>
        <v>16090</v>
      </c>
      <c r="W30" s="142">
        <f>+'Monitoring Calcs'!S12</f>
        <v>0</v>
      </c>
      <c r="X30" s="142">
        <f>+'Monitoring Calcs'!T12</f>
        <v>80450</v>
      </c>
      <c r="Y30" s="142">
        <f>+'Monitoring Calcs'!U12</f>
        <v>80450</v>
      </c>
      <c r="Z30" s="142">
        <f>+'Monitoring Calcs'!V12</f>
        <v>80450</v>
      </c>
      <c r="AA30" s="142">
        <f>+'Monitoring Calcs'!W12</f>
        <v>80450</v>
      </c>
      <c r="AB30" s="142">
        <f>+'Monitoring Calcs'!X12</f>
        <v>80450</v>
      </c>
      <c r="AC30" s="142">
        <f>+'Monitoring Calcs'!Y12</f>
        <v>80450</v>
      </c>
      <c r="AD30" s="142">
        <f>+'Monitoring Calcs'!Z12</f>
        <v>80450</v>
      </c>
      <c r="AE30" s="142">
        <f>+'Monitoring Calcs'!AA12</f>
        <v>80450</v>
      </c>
      <c r="AF30" s="142">
        <f>+'Monitoring Calcs'!AB12</f>
        <v>80450</v>
      </c>
      <c r="AG30" s="142">
        <f t="shared" ref="AG30:AG32" si="6">SUM(L30:AF30)</f>
        <v>836680</v>
      </c>
      <c r="AH30" s="136">
        <f t="shared" si="4"/>
        <v>804500</v>
      </c>
      <c r="AJ30">
        <v>71600</v>
      </c>
      <c r="AK30">
        <v>71600</v>
      </c>
      <c r="AL30">
        <v>71600</v>
      </c>
      <c r="AM30">
        <v>71600</v>
      </c>
      <c r="AN30">
        <v>71600</v>
      </c>
      <c r="AO30">
        <v>71600</v>
      </c>
      <c r="AP30">
        <v>71600</v>
      </c>
      <c r="AQ30">
        <v>71600</v>
      </c>
      <c r="AR30">
        <v>71600</v>
      </c>
      <c r="AS30">
        <v>71600</v>
      </c>
    </row>
    <row r="31" spans="1:45" ht="13.9" x14ac:dyDescent="0.4">
      <c r="A31" s="9"/>
      <c r="B31" s="7"/>
      <c r="C31" s="4"/>
      <c r="D31" s="6"/>
      <c r="E31" s="135" t="s">
        <v>127</v>
      </c>
      <c r="F31" s="135"/>
      <c r="G31" s="135"/>
      <c r="H31" s="135"/>
      <c r="I31" s="135"/>
      <c r="J31" s="135"/>
      <c r="K31" s="213" t="s">
        <v>115</v>
      </c>
      <c r="L31" s="142">
        <f>+'Monitoring Calcs'!H13*2</f>
        <v>21500</v>
      </c>
      <c r="M31" s="152">
        <f>+'Monitoring Calcs'!I13</f>
        <v>0</v>
      </c>
      <c r="N31" s="225">
        <f>+'Monitoring Calcs'!J13</f>
        <v>10750</v>
      </c>
      <c r="O31" s="223">
        <f>+'Monitoring Calcs'!K13</f>
        <v>0</v>
      </c>
      <c r="P31" s="142">
        <f>+'Monitoring Calcs'!L13</f>
        <v>10750</v>
      </c>
      <c r="Q31" s="142">
        <f>+'Monitoring Calcs'!M13</f>
        <v>0</v>
      </c>
      <c r="R31" s="142">
        <f>+'Monitoring Calcs'!N13</f>
        <v>10750</v>
      </c>
      <c r="S31" s="142">
        <f>+'Monitoring Calcs'!O13</f>
        <v>0</v>
      </c>
      <c r="T31" s="142">
        <f>+'Monitoring Calcs'!P13</f>
        <v>10750</v>
      </c>
      <c r="U31" s="142">
        <f>+'Monitoring Calcs'!Q13</f>
        <v>0</v>
      </c>
      <c r="V31" s="142">
        <f>+'Monitoring Calcs'!R13</f>
        <v>10750</v>
      </c>
      <c r="W31" s="142">
        <f>+'Monitoring Calcs'!S13</f>
        <v>0</v>
      </c>
      <c r="X31" s="142">
        <f>+'Monitoring Calcs'!T13</f>
        <v>53750</v>
      </c>
      <c r="Y31" s="142">
        <f>+'Monitoring Calcs'!U13</f>
        <v>53750</v>
      </c>
      <c r="Z31" s="142">
        <f>+'Monitoring Calcs'!V13</f>
        <v>53750</v>
      </c>
      <c r="AA31" s="142">
        <f>+'Monitoring Calcs'!W13</f>
        <v>53750</v>
      </c>
      <c r="AB31" s="142">
        <f>+'Monitoring Calcs'!X13</f>
        <v>53750</v>
      </c>
      <c r="AC31" s="142">
        <f>+'Monitoring Calcs'!Y13</f>
        <v>53750</v>
      </c>
      <c r="AD31" s="142">
        <f>+'Monitoring Calcs'!Z13</f>
        <v>53750</v>
      </c>
      <c r="AE31" s="142">
        <f>+'Monitoring Calcs'!AA13</f>
        <v>53750</v>
      </c>
      <c r="AF31" s="142">
        <f>+'Monitoring Calcs'!AB13</f>
        <v>53750</v>
      </c>
      <c r="AG31" s="142">
        <f t="shared" si="6"/>
        <v>559000</v>
      </c>
      <c r="AH31" s="136">
        <f>SUM(M31:AF31)</f>
        <v>537500</v>
      </c>
      <c r="AJ31">
        <v>53750</v>
      </c>
      <c r="AK31">
        <v>53750</v>
      </c>
      <c r="AL31">
        <v>53750</v>
      </c>
      <c r="AM31">
        <v>53750</v>
      </c>
      <c r="AN31">
        <v>53750</v>
      </c>
      <c r="AO31">
        <v>53750</v>
      </c>
      <c r="AP31">
        <v>53750</v>
      </c>
      <c r="AQ31">
        <v>53750</v>
      </c>
      <c r="AR31">
        <v>53750</v>
      </c>
      <c r="AS31">
        <v>53750</v>
      </c>
    </row>
    <row r="32" spans="1:45" ht="13.9" x14ac:dyDescent="0.4">
      <c r="A32" s="9"/>
      <c r="B32" s="7"/>
      <c r="C32" s="4"/>
      <c r="D32" s="6"/>
      <c r="E32" s="135" t="s">
        <v>133</v>
      </c>
      <c r="F32" s="135"/>
      <c r="G32" s="135"/>
      <c r="H32" s="135"/>
      <c r="I32" s="135"/>
      <c r="J32" s="135"/>
      <c r="K32" s="212" t="s">
        <v>165</v>
      </c>
      <c r="L32" s="142">
        <f>+'Monitoring Calcs'!H14</f>
        <v>0</v>
      </c>
      <c r="M32" s="152">
        <f>+'Monitoring Calcs'!I14</f>
        <v>0</v>
      </c>
      <c r="N32" s="225">
        <f>+'Monitoring Calcs'!J14</f>
        <v>19960</v>
      </c>
      <c r="O32" s="223">
        <f>+'Monitoring Calcs'!K14</f>
        <v>0</v>
      </c>
      <c r="P32" s="142">
        <f>+'Monitoring Calcs'!L14</f>
        <v>0</v>
      </c>
      <c r="Q32" s="142">
        <f>+'Monitoring Calcs'!M14</f>
        <v>0</v>
      </c>
      <c r="R32" s="142">
        <f>+'Monitoring Calcs'!N14</f>
        <v>19960</v>
      </c>
      <c r="S32" s="142">
        <f>+'Monitoring Calcs'!O14</f>
        <v>0</v>
      </c>
      <c r="T32" s="142">
        <f>+'Monitoring Calcs'!P14</f>
        <v>0</v>
      </c>
      <c r="U32" s="142">
        <f>+'Monitoring Calcs'!Q14</f>
        <v>0</v>
      </c>
      <c r="V32" s="142">
        <f>+'Monitoring Calcs'!R14</f>
        <v>19960</v>
      </c>
      <c r="W32" s="142">
        <f>+'Monitoring Calcs'!S14</f>
        <v>0</v>
      </c>
      <c r="X32" s="142">
        <f>+'Monitoring Calcs'!T14</f>
        <v>59880</v>
      </c>
      <c r="Y32" s="142">
        <f>+'Monitoring Calcs'!U14</f>
        <v>39920</v>
      </c>
      <c r="Z32" s="142">
        <f>+'Monitoring Calcs'!V14</f>
        <v>59880</v>
      </c>
      <c r="AA32" s="142">
        <f>+'Monitoring Calcs'!W14</f>
        <v>39920</v>
      </c>
      <c r="AB32" s="142">
        <f>+'Monitoring Calcs'!X14</f>
        <v>59880</v>
      </c>
      <c r="AC32" s="142">
        <f>+'Monitoring Calcs'!Y14</f>
        <v>39920</v>
      </c>
      <c r="AD32" s="142">
        <f>+'Monitoring Calcs'!Z14</f>
        <v>59880</v>
      </c>
      <c r="AE32" s="142">
        <f>+'Monitoring Calcs'!AA14</f>
        <v>39920</v>
      </c>
      <c r="AF32" s="142">
        <f>+'Monitoring Calcs'!AB14</f>
        <v>59880</v>
      </c>
      <c r="AG32" s="142">
        <f t="shared" si="6"/>
        <v>518960</v>
      </c>
      <c r="AH32" s="136">
        <f t="shared" si="4"/>
        <v>518960</v>
      </c>
      <c r="AJ32">
        <v>38240</v>
      </c>
      <c r="AK32">
        <v>57360</v>
      </c>
      <c r="AL32">
        <v>76480</v>
      </c>
      <c r="AM32">
        <v>95600</v>
      </c>
      <c r="AN32">
        <v>114720</v>
      </c>
      <c r="AO32">
        <v>133840</v>
      </c>
      <c r="AP32">
        <v>152960</v>
      </c>
      <c r="AQ32">
        <v>172080</v>
      </c>
      <c r="AR32">
        <v>191200</v>
      </c>
      <c r="AS32">
        <v>210320</v>
      </c>
    </row>
    <row r="33" spans="1:45" ht="13.9" hidden="1" x14ac:dyDescent="0.4">
      <c r="A33" s="9"/>
      <c r="B33" s="7"/>
      <c r="C33" s="4"/>
      <c r="D33" s="6"/>
      <c r="E33" s="135"/>
      <c r="F33" s="135"/>
      <c r="G33" s="135"/>
      <c r="H33" s="135"/>
      <c r="I33" s="135"/>
      <c r="J33" s="135"/>
      <c r="K33" s="137"/>
      <c r="L33" s="142">
        <f>+'Monitoring Calcs'!H15</f>
        <v>0</v>
      </c>
      <c r="M33" s="152">
        <f>+'Monitoring Calcs'!I15</f>
        <v>0</v>
      </c>
      <c r="N33" s="225">
        <f>+'Monitoring Calcs'!J15</f>
        <v>0</v>
      </c>
      <c r="O33" s="223">
        <f>+'Monitoring Calcs'!K15</f>
        <v>0</v>
      </c>
      <c r="P33" s="142">
        <f>+'Monitoring Calcs'!L15</f>
        <v>0</v>
      </c>
      <c r="Q33" s="142">
        <f>+'Monitoring Calcs'!M15</f>
        <v>0</v>
      </c>
      <c r="R33" s="142">
        <f>+'Monitoring Calcs'!N15</f>
        <v>0</v>
      </c>
      <c r="S33" s="142">
        <f>+'Monitoring Calcs'!O15</f>
        <v>0</v>
      </c>
      <c r="T33" s="142">
        <f>+'Monitoring Calcs'!P15</f>
        <v>0</v>
      </c>
      <c r="U33" s="142">
        <f>+'Monitoring Calcs'!Q15</f>
        <v>0</v>
      </c>
      <c r="V33" s="142">
        <f>+'Monitoring Calcs'!R15</f>
        <v>0</v>
      </c>
      <c r="W33" s="142">
        <f>+'Monitoring Calcs'!S15</f>
        <v>0</v>
      </c>
      <c r="X33" s="142">
        <f>+'Monitoring Calcs'!T15</f>
        <v>0</v>
      </c>
      <c r="Y33" s="142">
        <f>+'Monitoring Calcs'!U15</f>
        <v>0</v>
      </c>
      <c r="Z33" s="142">
        <f>+'Monitoring Calcs'!V15</f>
        <v>0</v>
      </c>
      <c r="AA33" s="142">
        <f>+'Monitoring Calcs'!W15</f>
        <v>0</v>
      </c>
      <c r="AB33" s="142">
        <f>+'Monitoring Calcs'!X15</f>
        <v>0</v>
      </c>
      <c r="AC33" s="142">
        <f>+'Monitoring Calcs'!Y15</f>
        <v>0</v>
      </c>
      <c r="AD33" s="142">
        <f>+'Monitoring Calcs'!Z15</f>
        <v>0</v>
      </c>
      <c r="AE33" s="142">
        <f>+'Monitoring Calcs'!AA15</f>
        <v>0</v>
      </c>
      <c r="AF33" s="142">
        <f>+'Monitoring Calcs'!AB15</f>
        <v>0</v>
      </c>
      <c r="AG33" s="142">
        <f t="shared" ref="AG33:AG39" si="7">SUM(L33:AF33) - (0.2*AF33)</f>
        <v>0</v>
      </c>
      <c r="AH33" s="142">
        <f t="shared" ref="AH33:AH43" si="8">SUM(N33:AF33)</f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</row>
    <row r="34" spans="1:45" ht="13.9" hidden="1" x14ac:dyDescent="0.4">
      <c r="A34" s="9"/>
      <c r="B34" s="7"/>
      <c r="C34" s="4"/>
      <c r="D34" s="134" t="s">
        <v>107</v>
      </c>
      <c r="E34" s="135"/>
      <c r="F34" s="135"/>
      <c r="G34" s="135"/>
      <c r="H34" s="135"/>
      <c r="I34" s="135"/>
      <c r="J34" s="135"/>
      <c r="K34" s="137"/>
      <c r="L34" s="142"/>
      <c r="M34" s="152"/>
      <c r="N34" s="225"/>
      <c r="O34" s="223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</row>
    <row r="35" spans="1:45" ht="13.9" hidden="1" x14ac:dyDescent="0.4">
      <c r="A35" s="9"/>
      <c r="B35" s="7"/>
      <c r="C35" s="4"/>
      <c r="D35" s="6"/>
      <c r="E35" s="135" t="s">
        <v>6</v>
      </c>
      <c r="F35" s="135"/>
      <c r="G35" s="135"/>
      <c r="H35" s="135"/>
      <c r="I35" s="135"/>
      <c r="J35" s="135"/>
      <c r="K35" s="137"/>
      <c r="L35" s="142">
        <f>+'Monitoring Calcs'!H16</f>
        <v>0</v>
      </c>
      <c r="M35" s="152">
        <f>+'Monitoring Calcs'!I16</f>
        <v>0</v>
      </c>
      <c r="N35" s="225">
        <f>+'Monitoring Calcs'!J16</f>
        <v>0</v>
      </c>
      <c r="O35" s="223">
        <f>+'Monitoring Calcs'!K16</f>
        <v>0</v>
      </c>
      <c r="P35" s="142">
        <f>+'Monitoring Calcs'!L16</f>
        <v>0</v>
      </c>
      <c r="Q35" s="142">
        <f>+'Monitoring Calcs'!M16</f>
        <v>0</v>
      </c>
      <c r="R35" s="142">
        <f>+'Monitoring Calcs'!N16</f>
        <v>0</v>
      </c>
      <c r="S35" s="142">
        <f>+'Monitoring Calcs'!O16</f>
        <v>0</v>
      </c>
      <c r="T35" s="142">
        <f>+'Monitoring Calcs'!P16</f>
        <v>0</v>
      </c>
      <c r="U35" s="142">
        <f>+'Monitoring Calcs'!Q16</f>
        <v>0</v>
      </c>
      <c r="V35" s="142">
        <f>+'Monitoring Calcs'!R16</f>
        <v>0</v>
      </c>
      <c r="W35" s="142">
        <f>+'Monitoring Calcs'!S16</f>
        <v>0</v>
      </c>
      <c r="X35" s="142">
        <f>+'Monitoring Calcs'!T16</f>
        <v>0</v>
      </c>
      <c r="Y35" s="142">
        <f>+'Monitoring Calcs'!U16</f>
        <v>0</v>
      </c>
      <c r="Z35" s="142">
        <f>+'Monitoring Calcs'!V16</f>
        <v>0</v>
      </c>
      <c r="AA35" s="142">
        <f>+'Monitoring Calcs'!W16</f>
        <v>0</v>
      </c>
      <c r="AB35" s="142">
        <f>+'Monitoring Calcs'!X16</f>
        <v>0</v>
      </c>
      <c r="AC35" s="142">
        <f>+'Monitoring Calcs'!Y16</f>
        <v>0</v>
      </c>
      <c r="AD35" s="142">
        <f>+'Monitoring Calcs'!Z16</f>
        <v>0</v>
      </c>
      <c r="AE35" s="142">
        <f>+'Monitoring Calcs'!AA16</f>
        <v>0</v>
      </c>
      <c r="AF35" s="142">
        <f>+'Monitoring Calcs'!AB16</f>
        <v>0</v>
      </c>
      <c r="AG35" s="142">
        <f t="shared" si="7"/>
        <v>0</v>
      </c>
      <c r="AH35" s="142">
        <f t="shared" si="8"/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</row>
    <row r="36" spans="1:45" ht="13.9" hidden="1" x14ac:dyDescent="0.4">
      <c r="A36" s="9"/>
      <c r="B36" s="7"/>
      <c r="C36" s="4"/>
      <c r="D36" s="6"/>
      <c r="E36" s="135" t="s">
        <v>5</v>
      </c>
      <c r="F36" s="135"/>
      <c r="G36" s="135"/>
      <c r="H36" s="135"/>
      <c r="I36" s="135"/>
      <c r="J36" s="135"/>
      <c r="K36" s="137"/>
      <c r="L36" s="142">
        <f>+'Monitoring Calcs'!H17</f>
        <v>0</v>
      </c>
      <c r="M36" s="152">
        <f>+'Monitoring Calcs'!I17</f>
        <v>0</v>
      </c>
      <c r="N36" s="225">
        <f>+'Monitoring Calcs'!J17</f>
        <v>0</v>
      </c>
      <c r="O36" s="223">
        <f>+'Monitoring Calcs'!K17</f>
        <v>0</v>
      </c>
      <c r="P36" s="142">
        <f>+'Monitoring Calcs'!L17</f>
        <v>0</v>
      </c>
      <c r="Q36" s="142">
        <f>+'Monitoring Calcs'!M17</f>
        <v>0</v>
      </c>
      <c r="R36" s="142">
        <f>+'Monitoring Calcs'!N17</f>
        <v>0</v>
      </c>
      <c r="S36" s="142">
        <f>+'Monitoring Calcs'!O17</f>
        <v>0</v>
      </c>
      <c r="T36" s="142">
        <f>+'Monitoring Calcs'!P17</f>
        <v>0</v>
      </c>
      <c r="U36" s="142">
        <f>+'Monitoring Calcs'!Q17</f>
        <v>0</v>
      </c>
      <c r="V36" s="142">
        <f>+'Monitoring Calcs'!R17</f>
        <v>0</v>
      </c>
      <c r="W36" s="142">
        <f>+'Monitoring Calcs'!S17</f>
        <v>0</v>
      </c>
      <c r="X36" s="142">
        <f>+'Monitoring Calcs'!T17</f>
        <v>0</v>
      </c>
      <c r="Y36" s="142">
        <f>+'Monitoring Calcs'!U17</f>
        <v>0</v>
      </c>
      <c r="Z36" s="142">
        <f>+'Monitoring Calcs'!V17</f>
        <v>0</v>
      </c>
      <c r="AA36" s="142">
        <f>+'Monitoring Calcs'!W17</f>
        <v>0</v>
      </c>
      <c r="AB36" s="142">
        <f>+'Monitoring Calcs'!X17</f>
        <v>0</v>
      </c>
      <c r="AC36" s="142">
        <f>+'Monitoring Calcs'!Y17</f>
        <v>0</v>
      </c>
      <c r="AD36" s="142">
        <f>+'Monitoring Calcs'!Z17</f>
        <v>0</v>
      </c>
      <c r="AE36" s="142">
        <f>+'Monitoring Calcs'!AA17</f>
        <v>0</v>
      </c>
      <c r="AF36" s="142">
        <f>+'Monitoring Calcs'!AB17</f>
        <v>0</v>
      </c>
      <c r="AG36" s="142">
        <f t="shared" si="7"/>
        <v>0</v>
      </c>
      <c r="AH36" s="142">
        <f t="shared" si="8"/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</row>
    <row r="37" spans="1:45" ht="13.9" hidden="1" x14ac:dyDescent="0.4">
      <c r="A37" s="9"/>
      <c r="B37" s="7"/>
      <c r="C37" s="4"/>
      <c r="D37" s="134" t="s">
        <v>59</v>
      </c>
      <c r="E37" s="135"/>
      <c r="F37" s="135"/>
      <c r="G37" s="135"/>
      <c r="H37" s="135"/>
      <c r="I37" s="135"/>
      <c r="J37" s="135"/>
      <c r="K37" s="137"/>
      <c r="L37" s="142">
        <f>+'Monitoring Calcs'!H18</f>
        <v>0</v>
      </c>
      <c r="M37" s="152">
        <f>+'Monitoring Calcs'!I18</f>
        <v>0</v>
      </c>
      <c r="N37" s="225">
        <f>+'Monitoring Calcs'!J18</f>
        <v>0</v>
      </c>
      <c r="O37" s="223">
        <f>+'Monitoring Calcs'!K18</f>
        <v>0</v>
      </c>
      <c r="P37" s="142">
        <f>+'Monitoring Calcs'!L18</f>
        <v>0</v>
      </c>
      <c r="Q37" s="142">
        <f>+'Monitoring Calcs'!M18</f>
        <v>0</v>
      </c>
      <c r="R37" s="142">
        <f>+'Monitoring Calcs'!N18</f>
        <v>0</v>
      </c>
      <c r="S37" s="142">
        <f>+'Monitoring Calcs'!O18</f>
        <v>0</v>
      </c>
      <c r="T37" s="142">
        <f>+'Monitoring Calcs'!P18</f>
        <v>0</v>
      </c>
      <c r="U37" s="142">
        <f>+'Monitoring Calcs'!Q18</f>
        <v>0</v>
      </c>
      <c r="V37" s="142">
        <f>+'Monitoring Calcs'!R18</f>
        <v>0</v>
      </c>
      <c r="W37" s="142">
        <f>+'Monitoring Calcs'!S18</f>
        <v>0</v>
      </c>
      <c r="X37" s="142">
        <f>+'Monitoring Calcs'!T18</f>
        <v>0</v>
      </c>
      <c r="Y37" s="142">
        <f>+'Monitoring Calcs'!U18</f>
        <v>0</v>
      </c>
      <c r="Z37" s="142">
        <f>+'Monitoring Calcs'!V18</f>
        <v>0</v>
      </c>
      <c r="AA37" s="142">
        <f>+'Monitoring Calcs'!W18</f>
        <v>0</v>
      </c>
      <c r="AB37" s="142">
        <f>+'Monitoring Calcs'!X18</f>
        <v>0</v>
      </c>
      <c r="AC37" s="142">
        <f>+'Monitoring Calcs'!Y18</f>
        <v>0</v>
      </c>
      <c r="AD37" s="142">
        <f>+'Monitoring Calcs'!Z18</f>
        <v>0</v>
      </c>
      <c r="AE37" s="142">
        <f>+'Monitoring Calcs'!AA18</f>
        <v>0</v>
      </c>
      <c r="AF37" s="142">
        <f>+'Monitoring Calcs'!AB18</f>
        <v>0</v>
      </c>
      <c r="AG37" s="142">
        <f t="shared" si="7"/>
        <v>0</v>
      </c>
      <c r="AH37" s="142">
        <f t="shared" si="8"/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</row>
    <row r="38" spans="1:45" ht="13.9" x14ac:dyDescent="0.4">
      <c r="A38" s="9"/>
      <c r="B38" s="7"/>
      <c r="C38" s="4"/>
      <c r="D38" s="134" t="s">
        <v>30</v>
      </c>
      <c r="E38" s="135"/>
      <c r="F38" s="135"/>
      <c r="G38" s="135"/>
      <c r="H38" s="135"/>
      <c r="I38" s="135"/>
      <c r="J38" s="135"/>
      <c r="K38" s="137"/>
      <c r="L38" s="142"/>
      <c r="M38" s="152"/>
      <c r="N38" s="225"/>
      <c r="O38" s="223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</row>
    <row r="39" spans="1:45" ht="13.9" hidden="1" x14ac:dyDescent="0.4">
      <c r="A39" s="9"/>
      <c r="B39" s="7"/>
      <c r="C39" s="4"/>
      <c r="D39" s="6"/>
      <c r="E39" s="135" t="s">
        <v>11</v>
      </c>
      <c r="F39" s="135"/>
      <c r="G39" s="135"/>
      <c r="H39" s="135"/>
      <c r="I39" s="135"/>
      <c r="J39" s="135"/>
      <c r="K39" s="137"/>
      <c r="L39" s="142"/>
      <c r="M39" s="152"/>
      <c r="N39" s="225"/>
      <c r="O39" s="223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>
        <f t="shared" si="7"/>
        <v>0</v>
      </c>
      <c r="AH39" s="142">
        <f t="shared" si="8"/>
        <v>0</v>
      </c>
    </row>
    <row r="40" spans="1:45" ht="13.9" x14ac:dyDescent="0.4">
      <c r="A40" s="9"/>
      <c r="B40" s="7"/>
      <c r="C40" s="4"/>
      <c r="D40" s="6"/>
      <c r="E40" s="135" t="s">
        <v>61</v>
      </c>
      <c r="F40" s="135"/>
      <c r="G40" s="135"/>
      <c r="H40" s="135"/>
      <c r="I40" s="135"/>
      <c r="J40" s="135"/>
      <c r="K40" s="137"/>
      <c r="L40" s="142">
        <f>+'Monitoring Calcs'!H21</f>
        <v>0</v>
      </c>
      <c r="M40" s="152">
        <v>25000</v>
      </c>
      <c r="N40" s="225">
        <f>+'Monitoring Calcs'!J21</f>
        <v>0</v>
      </c>
      <c r="O40" s="223">
        <f>+'Monitoring Calcs'!K21</f>
        <v>0</v>
      </c>
      <c r="P40" s="142">
        <f>+'Monitoring Calcs'!L21</f>
        <v>0</v>
      </c>
      <c r="Q40" s="142">
        <f>+'Monitoring Calcs'!M21</f>
        <v>0</v>
      </c>
      <c r="R40" s="142">
        <f>+'Monitoring Calcs'!N21</f>
        <v>0</v>
      </c>
      <c r="S40" s="142">
        <f>+'Monitoring Calcs'!O21</f>
        <v>0</v>
      </c>
      <c r="T40" s="142">
        <f>+'Monitoring Calcs'!P21</f>
        <v>0</v>
      </c>
      <c r="U40" s="142">
        <f>+'Monitoring Calcs'!Q21</f>
        <v>0</v>
      </c>
      <c r="V40" s="142">
        <f>+'Monitoring Calcs'!R21</f>
        <v>0</v>
      </c>
      <c r="W40" s="142">
        <f>+'Monitoring Calcs'!S21</f>
        <v>0</v>
      </c>
      <c r="X40" s="142">
        <f>+'Monitoring Calcs'!T21</f>
        <v>0</v>
      </c>
      <c r="Y40" s="142">
        <f>+'Monitoring Calcs'!U21</f>
        <v>0</v>
      </c>
      <c r="Z40" s="142">
        <f>+'Monitoring Calcs'!V21</f>
        <v>0</v>
      </c>
      <c r="AA40" s="142">
        <f>+'Monitoring Calcs'!W21</f>
        <v>0</v>
      </c>
      <c r="AB40" s="142">
        <f>+'Monitoring Calcs'!X21</f>
        <v>0</v>
      </c>
      <c r="AC40" s="142">
        <f>+'Monitoring Calcs'!Y21</f>
        <v>0</v>
      </c>
      <c r="AD40" s="142">
        <f>+'Monitoring Calcs'!Z21</f>
        <v>0</v>
      </c>
      <c r="AE40" s="142">
        <f>+'Monitoring Calcs'!AA21</f>
        <v>0</v>
      </c>
      <c r="AF40" s="142">
        <f>+'Monitoring Calcs'!AB21</f>
        <v>0</v>
      </c>
      <c r="AG40" s="142">
        <f t="shared" ref="AG40:AG43" si="9">SUM(L40:AF40)</f>
        <v>25000</v>
      </c>
      <c r="AH40" s="142">
        <f t="shared" si="8"/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</row>
    <row r="41" spans="1:45" ht="13.9" hidden="1" x14ac:dyDescent="0.4">
      <c r="A41" s="9"/>
      <c r="B41" s="7"/>
      <c r="C41" s="4"/>
      <c r="D41" s="6"/>
      <c r="E41" s="135" t="s">
        <v>12</v>
      </c>
      <c r="F41" s="135"/>
      <c r="G41" s="135"/>
      <c r="H41" s="135"/>
      <c r="I41" s="135"/>
      <c r="J41" s="135"/>
      <c r="K41" s="159"/>
      <c r="L41" s="142">
        <f>+'Monitoring Calcs'!H22</f>
        <v>0</v>
      </c>
      <c r="M41" s="152">
        <f>+'Monitoring Calcs'!I22</f>
        <v>0</v>
      </c>
      <c r="N41" s="225">
        <f>+'Monitoring Calcs'!J22</f>
        <v>0</v>
      </c>
      <c r="O41" s="223">
        <f>+'Monitoring Calcs'!K22</f>
        <v>0</v>
      </c>
      <c r="P41" s="142">
        <f>+'Monitoring Calcs'!L22</f>
        <v>0</v>
      </c>
      <c r="Q41" s="142">
        <f>+'Monitoring Calcs'!M22</f>
        <v>0</v>
      </c>
      <c r="R41" s="142">
        <f>+'Monitoring Calcs'!N22</f>
        <v>0</v>
      </c>
      <c r="S41" s="142">
        <f>+'Monitoring Calcs'!O22</f>
        <v>0</v>
      </c>
      <c r="T41" s="142">
        <f>+'Monitoring Calcs'!P22</f>
        <v>0</v>
      </c>
      <c r="U41" s="142">
        <f>+'Monitoring Calcs'!Q22</f>
        <v>0</v>
      </c>
      <c r="V41" s="142">
        <f>+'Monitoring Calcs'!R22</f>
        <v>0</v>
      </c>
      <c r="W41" s="142">
        <f>+'Monitoring Calcs'!S22</f>
        <v>0</v>
      </c>
      <c r="X41" s="142">
        <f>+'Monitoring Calcs'!T22</f>
        <v>0</v>
      </c>
      <c r="Y41" s="142">
        <f>+'Monitoring Calcs'!U22</f>
        <v>0</v>
      </c>
      <c r="Z41" s="142">
        <f>+'Monitoring Calcs'!V22</f>
        <v>0</v>
      </c>
      <c r="AA41" s="142">
        <f>+'Monitoring Calcs'!W22</f>
        <v>0</v>
      </c>
      <c r="AB41" s="142">
        <f>+'Monitoring Calcs'!X22</f>
        <v>0</v>
      </c>
      <c r="AC41" s="142">
        <f>+'Monitoring Calcs'!Y22</f>
        <v>0</v>
      </c>
      <c r="AD41" s="142">
        <f>+'Monitoring Calcs'!Z22</f>
        <v>0</v>
      </c>
      <c r="AE41" s="142">
        <f>+'Monitoring Calcs'!AA22</f>
        <v>0</v>
      </c>
      <c r="AF41" s="142">
        <f>+'Monitoring Calcs'!AB22</f>
        <v>0</v>
      </c>
      <c r="AG41" s="142">
        <f t="shared" si="9"/>
        <v>0</v>
      </c>
      <c r="AH41" s="142">
        <f t="shared" si="8"/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</row>
    <row r="42" spans="1:45" ht="13.9" hidden="1" x14ac:dyDescent="0.4">
      <c r="A42" s="9"/>
      <c r="B42" s="7"/>
      <c r="C42" s="4"/>
      <c r="D42" s="6"/>
      <c r="E42" s="135" t="s">
        <v>66</v>
      </c>
      <c r="F42" s="135"/>
      <c r="G42" s="135"/>
      <c r="H42" s="135"/>
      <c r="I42" s="135"/>
      <c r="J42" s="135"/>
      <c r="K42" s="137"/>
      <c r="L42" s="142">
        <f>+'Monitoring Calcs'!H23</f>
        <v>0</v>
      </c>
      <c r="M42" s="152">
        <f>+'Monitoring Calcs'!I23</f>
        <v>0</v>
      </c>
      <c r="N42" s="225">
        <f>+'Monitoring Calcs'!J23</f>
        <v>0</v>
      </c>
      <c r="O42" s="223">
        <f>+'Monitoring Calcs'!K23</f>
        <v>0</v>
      </c>
      <c r="P42" s="142">
        <f>+'Monitoring Calcs'!L23</f>
        <v>0</v>
      </c>
      <c r="Q42" s="142">
        <f>+'Monitoring Calcs'!M23</f>
        <v>0</v>
      </c>
      <c r="R42" s="142">
        <f>+'Monitoring Calcs'!N23</f>
        <v>0</v>
      </c>
      <c r="S42" s="142">
        <f>+'Monitoring Calcs'!O23</f>
        <v>0</v>
      </c>
      <c r="T42" s="142">
        <f>+'Monitoring Calcs'!P23</f>
        <v>0</v>
      </c>
      <c r="U42" s="142">
        <f>+'Monitoring Calcs'!Q23</f>
        <v>0</v>
      </c>
      <c r="V42" s="142">
        <f>+'Monitoring Calcs'!R23</f>
        <v>0</v>
      </c>
      <c r="W42" s="142">
        <f>+'Monitoring Calcs'!S23</f>
        <v>0</v>
      </c>
      <c r="X42" s="142">
        <f>+'Monitoring Calcs'!T23</f>
        <v>0</v>
      </c>
      <c r="Y42" s="142">
        <f>+'Monitoring Calcs'!U23</f>
        <v>0</v>
      </c>
      <c r="Z42" s="142">
        <f>+'Monitoring Calcs'!V23</f>
        <v>0</v>
      </c>
      <c r="AA42" s="142">
        <f>+'Monitoring Calcs'!W23</f>
        <v>0</v>
      </c>
      <c r="AB42" s="142">
        <f>+'Monitoring Calcs'!X23</f>
        <v>0</v>
      </c>
      <c r="AC42" s="142">
        <f>+'Monitoring Calcs'!Y23</f>
        <v>0</v>
      </c>
      <c r="AD42" s="142">
        <f>+'Monitoring Calcs'!Z23</f>
        <v>0</v>
      </c>
      <c r="AE42" s="142">
        <f>+'Monitoring Calcs'!AA23</f>
        <v>0</v>
      </c>
      <c r="AF42" s="142">
        <f>+'Monitoring Calcs'!AB23</f>
        <v>0</v>
      </c>
      <c r="AG42" s="142">
        <f t="shared" si="9"/>
        <v>0</v>
      </c>
      <c r="AH42" s="142">
        <f t="shared" si="8"/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</row>
    <row r="43" spans="1:45" ht="13.9" x14ac:dyDescent="0.4">
      <c r="A43" s="9"/>
      <c r="B43" s="7"/>
      <c r="D43" s="163" t="s">
        <v>146</v>
      </c>
      <c r="E43" s="163"/>
      <c r="F43" s="163"/>
      <c r="G43" s="163"/>
      <c r="H43" s="163"/>
      <c r="I43" s="163"/>
      <c r="J43" s="130"/>
      <c r="K43" s="164"/>
      <c r="L43" s="136">
        <f>+'Monitoring Calcs'!H24</f>
        <v>0</v>
      </c>
      <c r="M43" s="151">
        <v>110000</v>
      </c>
      <c r="N43" s="227">
        <f>+'Monitoring Calcs'!J24</f>
        <v>0</v>
      </c>
      <c r="O43" s="224">
        <f>+'Monitoring Calcs'!K24</f>
        <v>0</v>
      </c>
      <c r="P43" s="136">
        <f>+'Monitoring Calcs'!L24</f>
        <v>0</v>
      </c>
      <c r="Q43" s="136">
        <f>+'Monitoring Calcs'!M24</f>
        <v>0</v>
      </c>
      <c r="R43" s="136">
        <f>+'Monitoring Calcs'!N24</f>
        <v>0</v>
      </c>
      <c r="S43" s="136">
        <f>+'Monitoring Calcs'!O24</f>
        <v>0</v>
      </c>
      <c r="T43" s="136">
        <f>+'Monitoring Calcs'!P24</f>
        <v>0</v>
      </c>
      <c r="U43" s="136">
        <f>+'Monitoring Calcs'!Q24</f>
        <v>0</v>
      </c>
      <c r="V43" s="136">
        <f>+'Monitoring Calcs'!R24</f>
        <v>0</v>
      </c>
      <c r="W43" s="136">
        <f>+'Monitoring Calcs'!S24</f>
        <v>0</v>
      </c>
      <c r="X43" s="136">
        <f>+'Monitoring Calcs'!T24</f>
        <v>0</v>
      </c>
      <c r="Y43" s="136">
        <f>+'Monitoring Calcs'!U24</f>
        <v>0</v>
      </c>
      <c r="Z43" s="136">
        <f>+'Monitoring Calcs'!V24</f>
        <v>0</v>
      </c>
      <c r="AA43" s="136">
        <f>+'Monitoring Calcs'!W24</f>
        <v>0</v>
      </c>
      <c r="AB43" s="136">
        <f>+'Monitoring Calcs'!X24</f>
        <v>0</v>
      </c>
      <c r="AC43" s="136">
        <f>+'Monitoring Calcs'!Y24</f>
        <v>0</v>
      </c>
      <c r="AD43" s="136">
        <f>+'Monitoring Calcs'!Z24</f>
        <v>0</v>
      </c>
      <c r="AE43" s="136">
        <f>+'Monitoring Calcs'!AA24</f>
        <v>0</v>
      </c>
      <c r="AF43" s="136">
        <f>+'Monitoring Calcs'!AB24</f>
        <v>0</v>
      </c>
      <c r="AG43" s="136">
        <f t="shared" si="9"/>
        <v>110000</v>
      </c>
      <c r="AH43" s="136">
        <f t="shared" si="8"/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</row>
    <row r="44" spans="1:45" ht="13.5" thickBot="1" x14ac:dyDescent="0.45">
      <c r="A44" s="144"/>
      <c r="B44" s="57"/>
      <c r="C44" s="25"/>
      <c r="D44" s="25"/>
      <c r="E44" s="25"/>
      <c r="F44" s="25"/>
      <c r="G44" s="25"/>
      <c r="H44" s="25"/>
      <c r="I44" s="25"/>
      <c r="J44" s="25"/>
      <c r="K44" s="25"/>
      <c r="L44" s="24"/>
      <c r="M44" s="65"/>
      <c r="N44" s="27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  <row r="45" spans="1:45" x14ac:dyDescent="0.35">
      <c r="A45" s="9"/>
      <c r="L45" s="127"/>
      <c r="M45" s="127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45" ht="14.25" thickBot="1" x14ac:dyDescent="0.45">
      <c r="A46" s="9"/>
      <c r="B46" s="1"/>
      <c r="C46" s="21" t="s">
        <v>182</v>
      </c>
      <c r="D46" s="14"/>
      <c r="L46" s="228">
        <f>SUM(L7:L44)</f>
        <v>65390</v>
      </c>
      <c r="M46" s="228">
        <f t="shared" ref="M46:AG46" si="10">SUM(M7:M44)</f>
        <v>158000</v>
      </c>
      <c r="N46" s="229">
        <f t="shared" si="10"/>
        <v>58510</v>
      </c>
      <c r="O46" s="229">
        <f t="shared" si="10"/>
        <v>0</v>
      </c>
      <c r="P46" s="229">
        <f t="shared" si="10"/>
        <v>38550</v>
      </c>
      <c r="Q46" s="229">
        <f t="shared" si="10"/>
        <v>0</v>
      </c>
      <c r="R46" s="229">
        <f t="shared" si="10"/>
        <v>58510</v>
      </c>
      <c r="S46" s="229">
        <f t="shared" si="10"/>
        <v>0</v>
      </c>
      <c r="T46" s="229">
        <f t="shared" si="10"/>
        <v>38550</v>
      </c>
      <c r="U46" s="229">
        <f t="shared" si="10"/>
        <v>0</v>
      </c>
      <c r="V46" s="229">
        <f t="shared" si="10"/>
        <v>559380</v>
      </c>
      <c r="W46" s="229">
        <f t="shared" si="10"/>
        <v>0</v>
      </c>
      <c r="X46" s="229">
        <f t="shared" si="10"/>
        <v>309860</v>
      </c>
      <c r="Y46" s="229">
        <f t="shared" si="10"/>
        <v>354640</v>
      </c>
      <c r="Z46" s="229">
        <f t="shared" ref="Z46:AA46" si="11">SUM(Z7:Z44)</f>
        <v>309860</v>
      </c>
      <c r="AA46" s="229">
        <f t="shared" si="11"/>
        <v>354640</v>
      </c>
      <c r="AB46" s="229">
        <f t="shared" si="10"/>
        <v>309860</v>
      </c>
      <c r="AC46" s="229">
        <f t="shared" si="10"/>
        <v>354640</v>
      </c>
      <c r="AD46" s="229">
        <f t="shared" si="10"/>
        <v>309860</v>
      </c>
      <c r="AE46" s="229">
        <f t="shared" si="10"/>
        <v>354640</v>
      </c>
      <c r="AF46" s="229">
        <f t="shared" si="10"/>
        <v>309860</v>
      </c>
      <c r="AG46" s="229">
        <f t="shared" si="10"/>
        <v>3944750</v>
      </c>
      <c r="AH46" s="229">
        <f>SUM(AH7:AH44)</f>
        <v>3744360</v>
      </c>
      <c r="AJ46">
        <v>322830</v>
      </c>
      <c r="AK46">
        <v>291950</v>
      </c>
      <c r="AL46">
        <v>261070</v>
      </c>
      <c r="AM46">
        <v>230190</v>
      </c>
      <c r="AN46">
        <v>199310</v>
      </c>
      <c r="AO46">
        <v>168430</v>
      </c>
      <c r="AP46">
        <v>137550</v>
      </c>
      <c r="AQ46">
        <v>106670</v>
      </c>
      <c r="AR46">
        <v>75790</v>
      </c>
      <c r="AS46">
        <v>44910</v>
      </c>
    </row>
    <row r="47" spans="1:45" ht="13.9" x14ac:dyDescent="0.4">
      <c r="A47" s="9"/>
      <c r="B47" s="1"/>
      <c r="C47" s="4"/>
      <c r="J47" s="18"/>
      <c r="N47" s="5"/>
    </row>
    <row r="48" spans="1:45" ht="13.9" x14ac:dyDescent="0.4">
      <c r="A48" s="9"/>
      <c r="B48" s="1"/>
      <c r="C48" s="19"/>
      <c r="G48" s="155"/>
      <c r="N48">
        <f>N5-$M5</f>
        <v>0</v>
      </c>
      <c r="O48">
        <f t="shared" ref="O48:W48" si="12">O5-$M5</f>
        <v>1</v>
      </c>
      <c r="P48">
        <f t="shared" si="12"/>
        <v>2</v>
      </c>
      <c r="Q48">
        <f t="shared" si="12"/>
        <v>3</v>
      </c>
      <c r="R48">
        <f t="shared" si="12"/>
        <v>4</v>
      </c>
      <c r="S48">
        <f t="shared" si="12"/>
        <v>5</v>
      </c>
      <c r="T48">
        <f t="shared" si="12"/>
        <v>6</v>
      </c>
      <c r="U48">
        <f t="shared" si="12"/>
        <v>7</v>
      </c>
      <c r="V48">
        <f t="shared" si="12"/>
        <v>8</v>
      </c>
      <c r="W48">
        <f t="shared" si="12"/>
        <v>9</v>
      </c>
      <c r="X48">
        <v>10</v>
      </c>
      <c r="Y48">
        <v>20</v>
      </c>
      <c r="Z48">
        <v>30</v>
      </c>
      <c r="AA48">
        <v>40</v>
      </c>
      <c r="AB48">
        <v>50</v>
      </c>
      <c r="AC48">
        <v>60</v>
      </c>
      <c r="AD48">
        <v>70</v>
      </c>
      <c r="AE48">
        <v>80</v>
      </c>
      <c r="AF48">
        <v>90</v>
      </c>
      <c r="AJ48">
        <v>100</v>
      </c>
      <c r="AK48">
        <v>110</v>
      </c>
      <c r="AL48">
        <v>120</v>
      </c>
      <c r="AM48">
        <v>130</v>
      </c>
      <c r="AN48">
        <v>140</v>
      </c>
      <c r="AO48">
        <v>150</v>
      </c>
      <c r="AP48">
        <v>160</v>
      </c>
      <c r="AQ48">
        <v>170</v>
      </c>
      <c r="AR48">
        <v>180</v>
      </c>
      <c r="AS48">
        <v>190</v>
      </c>
    </row>
    <row r="49" spans="2:45" ht="13.15" x14ac:dyDescent="0.4">
      <c r="B49" s="1"/>
      <c r="C49" s="157"/>
      <c r="J49" s="237">
        <v>0.03</v>
      </c>
      <c r="K49" s="238" t="s">
        <v>149</v>
      </c>
      <c r="N49" s="220">
        <f t="shared" ref="N49:W49" si="13">PV($E$49,N48,,N46)</f>
        <v>-58510</v>
      </c>
      <c r="O49" s="220">
        <f t="shared" si="13"/>
        <v>0</v>
      </c>
      <c r="P49" s="220">
        <f t="shared" si="13"/>
        <v>-38550</v>
      </c>
      <c r="Q49" s="220">
        <f t="shared" si="13"/>
        <v>0</v>
      </c>
      <c r="R49" s="220">
        <f t="shared" si="13"/>
        <v>-58510</v>
      </c>
      <c r="S49" s="220">
        <f t="shared" si="13"/>
        <v>0</v>
      </c>
      <c r="T49" s="220">
        <f t="shared" si="13"/>
        <v>-38550</v>
      </c>
      <c r="U49" s="220">
        <f t="shared" si="13"/>
        <v>0</v>
      </c>
      <c r="V49" s="220">
        <f t="shared" si="13"/>
        <v>-559380</v>
      </c>
      <c r="W49" s="220">
        <f t="shared" si="13"/>
        <v>0</v>
      </c>
      <c r="X49" s="217">
        <f>PV(J49,X48,,X46)</f>
        <v>-230564.94046989927</v>
      </c>
      <c r="Y49" s="217">
        <f t="shared" ref="Y49:AF49" si="14">PV($J49,Y48,,Y46)</f>
        <v>-196355.56946464183</v>
      </c>
      <c r="Z49" s="217">
        <f t="shared" si="14"/>
        <v>-127658.21730359891</v>
      </c>
      <c r="AA49" s="217">
        <f t="shared" si="14"/>
        <v>-108717.31801202286</v>
      </c>
      <c r="AB49" s="217">
        <f t="shared" si="14"/>
        <v>-70681.259743653165</v>
      </c>
      <c r="AC49" s="217">
        <f t="shared" si="14"/>
        <v>-60194.143043422373</v>
      </c>
      <c r="AD49" s="217">
        <f t="shared" si="14"/>
        <v>-39134.499795407406</v>
      </c>
      <c r="AE49" s="217">
        <f t="shared" si="14"/>
        <v>-33328.03754716702</v>
      </c>
      <c r="AF49" s="217">
        <f t="shared" si="14"/>
        <v>-21667.823688927165</v>
      </c>
      <c r="AG49" s="156"/>
      <c r="AH49" s="217"/>
      <c r="AJ49" s="217">
        <f t="shared" ref="AJ49:AS49" si="15">PV($J49,AJ48,,AJ46)</f>
        <v>-16797.761688843031</v>
      </c>
      <c r="AK49" s="217">
        <f t="shared" si="15"/>
        <v>-11303.521430166889</v>
      </c>
      <c r="AL49" s="217">
        <f t="shared" si="15"/>
        <v>-7521.2496544713313</v>
      </c>
      <c r="AM49" s="217">
        <f t="shared" si="15"/>
        <v>-4934.546447813379</v>
      </c>
      <c r="AN49" s="217">
        <f t="shared" si="15"/>
        <v>-3179.1983943232453</v>
      </c>
      <c r="AO49" s="217">
        <f t="shared" si="15"/>
        <v>-1999.1056328701602</v>
      </c>
      <c r="AP49" s="217">
        <f t="shared" si="15"/>
        <v>-1214.7996046239982</v>
      </c>
      <c r="AQ49" s="217">
        <f t="shared" si="15"/>
        <v>-700.993668261793</v>
      </c>
      <c r="AR49" s="217">
        <f t="shared" si="15"/>
        <v>-370.60515859401414</v>
      </c>
      <c r="AS49" s="217">
        <f t="shared" si="15"/>
        <v>-163.40688872358959</v>
      </c>
    </row>
    <row r="50" spans="2:45" ht="13.15" x14ac:dyDescent="0.4">
      <c r="B50" s="1"/>
      <c r="L50" t="s">
        <v>151</v>
      </c>
      <c r="M50" s="33">
        <f>-SUM(N49:W49)</f>
        <v>753500</v>
      </c>
      <c r="N50" t="s">
        <v>164</v>
      </c>
      <c r="O50" s="33">
        <v>753500</v>
      </c>
      <c r="P50" t="s">
        <v>164</v>
      </c>
      <c r="V50" s="235"/>
    </row>
    <row r="51" spans="2:45" ht="13.15" x14ac:dyDescent="0.4">
      <c r="B51" s="1"/>
      <c r="L51" t="s">
        <v>152</v>
      </c>
      <c r="M51" s="217">
        <f>-SUM(X49)</f>
        <v>230564.94046989927</v>
      </c>
      <c r="N51" t="s">
        <v>162</v>
      </c>
      <c r="O51" s="157">
        <f>X46</f>
        <v>309860</v>
      </c>
      <c r="P51" t="s">
        <v>164</v>
      </c>
      <c r="V51" s="157"/>
    </row>
    <row r="52" spans="2:45" ht="13.15" x14ac:dyDescent="0.4">
      <c r="B52" s="1"/>
      <c r="L52" t="s">
        <v>153</v>
      </c>
      <c r="M52" s="217">
        <f>-Y$49</f>
        <v>196355.56946464183</v>
      </c>
      <c r="O52" s="157">
        <f>Y46</f>
        <v>354640</v>
      </c>
      <c r="P52" t="s">
        <v>164</v>
      </c>
      <c r="V52" s="157">
        <f>N46+P46+R46+T46+V46-V20</f>
        <v>374600</v>
      </c>
    </row>
    <row r="53" spans="2:45" ht="13.15" x14ac:dyDescent="0.4">
      <c r="B53" s="1"/>
      <c r="L53" t="s">
        <v>155</v>
      </c>
      <c r="M53" s="217">
        <f>-Z$49</f>
        <v>127658.21730359891</v>
      </c>
      <c r="O53" s="157">
        <f>Z46</f>
        <v>309860</v>
      </c>
      <c r="P53" t="s">
        <v>164</v>
      </c>
      <c r="V53" s="157">
        <f>0.3*V52</f>
        <v>112380</v>
      </c>
    </row>
    <row r="54" spans="2:45" ht="13.15" x14ac:dyDescent="0.4">
      <c r="B54" s="1"/>
      <c r="L54" t="s">
        <v>154</v>
      </c>
      <c r="M54" s="217">
        <f>-AA$49</f>
        <v>108717.31801202286</v>
      </c>
      <c r="O54" s="157">
        <f>AA46</f>
        <v>354640</v>
      </c>
      <c r="P54" t="s">
        <v>164</v>
      </c>
      <c r="V54" s="157">
        <f>V53+V52+L46+M46-135000</f>
        <v>575370</v>
      </c>
    </row>
    <row r="55" spans="2:45" ht="13.15" x14ac:dyDescent="0.4">
      <c r="B55" s="1"/>
      <c r="L55" t="s">
        <v>156</v>
      </c>
      <c r="M55" s="217">
        <f>-AB$49</f>
        <v>70681.259743653165</v>
      </c>
      <c r="O55" s="157">
        <f>AB46</f>
        <v>309860</v>
      </c>
      <c r="P55" t="s">
        <v>164</v>
      </c>
      <c r="V55" s="157"/>
    </row>
    <row r="56" spans="2:45" ht="13.15" x14ac:dyDescent="0.4">
      <c r="B56" s="1"/>
      <c r="L56" t="s">
        <v>157</v>
      </c>
      <c r="M56" s="217">
        <f>-AC$49</f>
        <v>60194.143043422373</v>
      </c>
      <c r="O56" s="157">
        <f>AC46</f>
        <v>354640</v>
      </c>
      <c r="P56" t="s">
        <v>164</v>
      </c>
      <c r="V56" s="157"/>
    </row>
    <row r="57" spans="2:45" x14ac:dyDescent="0.35">
      <c r="B57" s="9"/>
      <c r="L57" t="s">
        <v>158</v>
      </c>
      <c r="M57" s="217">
        <f>-AD$49</f>
        <v>39134.499795407406</v>
      </c>
      <c r="O57" s="157">
        <f>AD46</f>
        <v>309860</v>
      </c>
      <c r="P57" t="s">
        <v>164</v>
      </c>
      <c r="V57" s="157"/>
    </row>
    <row r="58" spans="2:45" x14ac:dyDescent="0.35">
      <c r="B58" s="9"/>
      <c r="L58" t="s">
        <v>159</v>
      </c>
      <c r="M58" s="217">
        <f>-AE$49</f>
        <v>33328.03754716702</v>
      </c>
      <c r="O58" s="157">
        <f>AE46</f>
        <v>354640</v>
      </c>
      <c r="P58" t="s">
        <v>164</v>
      </c>
      <c r="V58" s="157"/>
    </row>
    <row r="59" spans="2:45" x14ac:dyDescent="0.35">
      <c r="B59" s="9"/>
      <c r="L59" t="s">
        <v>160</v>
      </c>
      <c r="M59" s="217">
        <f>-AF$49</f>
        <v>21667.823688927165</v>
      </c>
      <c r="O59" s="157">
        <f>AF46</f>
        <v>309860</v>
      </c>
      <c r="P59" t="s">
        <v>164</v>
      </c>
      <c r="V59" s="157"/>
    </row>
    <row r="60" spans="2:45" x14ac:dyDescent="0.35">
      <c r="B60" s="9"/>
      <c r="V60" s="157"/>
    </row>
    <row r="61" spans="2:45" x14ac:dyDescent="0.35">
      <c r="B61" s="9"/>
      <c r="K61" s="236" t="s">
        <v>176</v>
      </c>
      <c r="M61" s="33">
        <f>SUM(M50:M60)</f>
        <v>1641801.8090687399</v>
      </c>
      <c r="O61" s="157">
        <f>SUM(O50:O59)</f>
        <v>3721360</v>
      </c>
      <c r="V61" s="157"/>
    </row>
    <row r="62" spans="2:45" x14ac:dyDescent="0.35">
      <c r="B62" s="9"/>
      <c r="M62" t="s">
        <v>163</v>
      </c>
      <c r="O62" t="s">
        <v>185</v>
      </c>
      <c r="V62" s="157"/>
    </row>
    <row r="63" spans="2:45" x14ac:dyDescent="0.35">
      <c r="B63" s="9"/>
      <c r="V63" s="157"/>
    </row>
    <row r="64" spans="2:45" x14ac:dyDescent="0.35">
      <c r="B64" s="9"/>
      <c r="V64" s="157"/>
    </row>
    <row r="65" spans="2:22" x14ac:dyDescent="0.35">
      <c r="B65" s="9"/>
      <c r="V65" s="157"/>
    </row>
    <row r="66" spans="2:22" x14ac:dyDescent="0.35">
      <c r="B66" s="9"/>
      <c r="V66" s="157"/>
    </row>
    <row r="67" spans="2:22" x14ac:dyDescent="0.35">
      <c r="B67" s="9"/>
      <c r="V67" s="157"/>
    </row>
    <row r="68" spans="2:22" x14ac:dyDescent="0.35">
      <c r="B68" s="9"/>
      <c r="V68" s="157"/>
    </row>
    <row r="69" spans="2:22" x14ac:dyDescent="0.35">
      <c r="B69" s="9"/>
      <c r="V69" s="157"/>
    </row>
    <row r="70" spans="2:22" x14ac:dyDescent="0.35">
      <c r="B70" s="9"/>
      <c r="V70" s="157"/>
    </row>
    <row r="71" spans="2:22" x14ac:dyDescent="0.35">
      <c r="B71" s="9"/>
      <c r="V71" s="157"/>
    </row>
    <row r="72" spans="2:22" x14ac:dyDescent="0.35">
      <c r="B72" s="9"/>
      <c r="V72" s="157"/>
    </row>
    <row r="73" spans="2:22" x14ac:dyDescent="0.35">
      <c r="B73" s="9"/>
      <c r="V73" s="157"/>
    </row>
    <row r="74" spans="2:22" ht="13.5" x14ac:dyDescent="0.35">
      <c r="B74" s="9"/>
      <c r="O74" s="15"/>
      <c r="V74" s="157"/>
    </row>
    <row r="75" spans="2:22" ht="13.5" x14ac:dyDescent="0.35">
      <c r="B75" s="9"/>
      <c r="O75" s="15"/>
      <c r="V75" s="157"/>
    </row>
    <row r="76" spans="2:22" ht="13.5" x14ac:dyDescent="0.35">
      <c r="B76" s="9"/>
      <c r="O76" s="15"/>
      <c r="V76" s="157"/>
    </row>
    <row r="77" spans="2:22" ht="13.5" x14ac:dyDescent="0.35">
      <c r="B77" s="9"/>
      <c r="O77" s="15"/>
      <c r="V77" s="157"/>
    </row>
    <row r="78" spans="2:22" ht="13.5" x14ac:dyDescent="0.35">
      <c r="B78" s="9"/>
      <c r="O78" s="15"/>
      <c r="V78" s="157"/>
    </row>
    <row r="79" spans="2:22" ht="13.5" x14ac:dyDescent="0.35">
      <c r="B79" s="9"/>
      <c r="O79" s="15"/>
      <c r="V79" s="157"/>
    </row>
    <row r="80" spans="2:22" ht="13.5" x14ac:dyDescent="0.35">
      <c r="B80" s="9"/>
      <c r="O80" s="15"/>
      <c r="V80" s="157"/>
    </row>
    <row r="81" spans="2:22" ht="13.5" x14ac:dyDescent="0.35">
      <c r="B81" s="9"/>
      <c r="O81" s="15"/>
      <c r="V81" s="157"/>
    </row>
    <row r="82" spans="2:22" ht="13.5" x14ac:dyDescent="0.35">
      <c r="B82" s="9"/>
      <c r="O82" s="15"/>
    </row>
    <row r="83" spans="2:22" ht="13.5" x14ac:dyDescent="0.35">
      <c r="B83" s="9"/>
      <c r="O83" s="15"/>
    </row>
    <row r="84" spans="2:22" ht="13.5" x14ac:dyDescent="0.35">
      <c r="B84" s="9"/>
      <c r="O84" s="15"/>
    </row>
    <row r="85" spans="2:22" ht="13.5" x14ac:dyDescent="0.35">
      <c r="B85" s="9"/>
      <c r="O85" s="15"/>
    </row>
    <row r="86" spans="2:22" ht="13.5" x14ac:dyDescent="0.35">
      <c r="B86" s="9"/>
      <c r="O86" s="15"/>
    </row>
    <row r="87" spans="2:22" ht="13.5" x14ac:dyDescent="0.35">
      <c r="B87" s="9"/>
      <c r="O87" s="15"/>
    </row>
    <row r="88" spans="2:22" ht="13.5" x14ac:dyDescent="0.35">
      <c r="B88" s="9"/>
      <c r="O88" s="15"/>
    </row>
    <row r="89" spans="2:22" ht="13.5" x14ac:dyDescent="0.35">
      <c r="B89" s="9"/>
      <c r="O89" s="15"/>
    </row>
    <row r="90" spans="2:22" ht="13.5" x14ac:dyDescent="0.35">
      <c r="B90" s="9"/>
      <c r="O90" s="15"/>
    </row>
    <row r="91" spans="2:22" ht="13.5" x14ac:dyDescent="0.35">
      <c r="B91" s="9"/>
      <c r="O91" s="15"/>
    </row>
    <row r="92" spans="2:22" ht="13.5" x14ac:dyDescent="0.35">
      <c r="B92" s="9"/>
      <c r="O92" s="15"/>
    </row>
    <row r="93" spans="2:22" ht="13.5" x14ac:dyDescent="0.35">
      <c r="B93" s="9"/>
      <c r="O93" s="15"/>
    </row>
    <row r="94" spans="2:22" ht="13.5" x14ac:dyDescent="0.35">
      <c r="B94" s="9"/>
      <c r="O94" s="15"/>
    </row>
    <row r="95" spans="2:22" ht="13.5" x14ac:dyDescent="0.35">
      <c r="B95" s="9"/>
      <c r="O95" s="15"/>
    </row>
    <row r="96" spans="2:22" ht="13.5" x14ac:dyDescent="0.35">
      <c r="B96" s="9"/>
      <c r="O96" s="15"/>
    </row>
    <row r="97" spans="2:15" ht="13.5" x14ac:dyDescent="0.35">
      <c r="B97" s="9"/>
      <c r="O97" s="15"/>
    </row>
    <row r="98" spans="2:15" ht="13.5" x14ac:dyDescent="0.35">
      <c r="B98" s="9"/>
      <c r="O98" s="15"/>
    </row>
    <row r="99" spans="2:15" ht="13.5" x14ac:dyDescent="0.35">
      <c r="B99" s="9"/>
      <c r="O99" s="15"/>
    </row>
    <row r="100" spans="2:15" ht="13.5" x14ac:dyDescent="0.35">
      <c r="B100" s="9"/>
      <c r="O100" s="15"/>
    </row>
    <row r="101" spans="2:15" ht="13.5" x14ac:dyDescent="0.35">
      <c r="B101" s="9"/>
      <c r="O101" s="15"/>
    </row>
    <row r="102" spans="2:15" ht="13.5" x14ac:dyDescent="0.35">
      <c r="B102" s="9"/>
      <c r="O102" s="15"/>
    </row>
    <row r="103" spans="2:15" ht="13.5" x14ac:dyDescent="0.35">
      <c r="B103" s="9"/>
      <c r="O103" s="15"/>
    </row>
    <row r="104" spans="2:15" ht="13.5" x14ac:dyDescent="0.35">
      <c r="B104" s="9"/>
      <c r="O104" s="15"/>
    </row>
    <row r="105" spans="2:15" x14ac:dyDescent="0.35">
      <c r="B105" s="9"/>
    </row>
    <row r="106" spans="2:15" x14ac:dyDescent="0.35">
      <c r="B106" s="9"/>
    </row>
    <row r="107" spans="2:15" x14ac:dyDescent="0.35">
      <c r="B107" s="9"/>
    </row>
    <row r="108" spans="2:15" x14ac:dyDescent="0.35">
      <c r="B108" s="9"/>
    </row>
    <row r="109" spans="2:15" x14ac:dyDescent="0.35">
      <c r="B109" s="9"/>
    </row>
    <row r="110" spans="2:15" x14ac:dyDescent="0.35">
      <c r="B110" s="9"/>
    </row>
    <row r="111" spans="2:15" x14ac:dyDescent="0.35">
      <c r="B111" s="9"/>
    </row>
    <row r="112" spans="2:15" x14ac:dyDescent="0.35">
      <c r="B112" s="9"/>
    </row>
    <row r="113" spans="2:2" x14ac:dyDescent="0.35">
      <c r="B113" s="9"/>
    </row>
    <row r="114" spans="2:2" x14ac:dyDescent="0.35">
      <c r="B114" s="9"/>
    </row>
    <row r="115" spans="2:2" x14ac:dyDescent="0.35">
      <c r="B115" s="9"/>
    </row>
    <row r="116" spans="2:2" x14ac:dyDescent="0.35">
      <c r="B116" s="9"/>
    </row>
    <row r="117" spans="2:2" x14ac:dyDescent="0.35">
      <c r="B117" s="9"/>
    </row>
    <row r="118" spans="2:2" x14ac:dyDescent="0.35">
      <c r="B118" s="9"/>
    </row>
    <row r="119" spans="2:2" x14ac:dyDescent="0.35">
      <c r="B119" s="9"/>
    </row>
    <row r="120" spans="2:2" x14ac:dyDescent="0.35">
      <c r="B120" s="9"/>
    </row>
    <row r="121" spans="2:2" x14ac:dyDescent="0.35">
      <c r="B121" s="9"/>
    </row>
    <row r="122" spans="2:2" x14ac:dyDescent="0.35">
      <c r="B122" s="9"/>
    </row>
    <row r="123" spans="2:2" x14ac:dyDescent="0.35">
      <c r="B123" s="9"/>
    </row>
    <row r="124" spans="2:2" x14ac:dyDescent="0.35">
      <c r="B124" s="9"/>
    </row>
    <row r="125" spans="2:2" x14ac:dyDescent="0.35">
      <c r="B125" s="9"/>
    </row>
    <row r="126" spans="2:2" x14ac:dyDescent="0.35">
      <c r="B126" s="9"/>
    </row>
    <row r="127" spans="2:2" x14ac:dyDescent="0.35">
      <c r="B127" s="9"/>
    </row>
    <row r="128" spans="2:2" x14ac:dyDescent="0.35">
      <c r="B128" s="9"/>
    </row>
    <row r="129" spans="2:2" x14ac:dyDescent="0.35">
      <c r="B129" s="9"/>
    </row>
    <row r="130" spans="2:2" x14ac:dyDescent="0.35">
      <c r="B130" s="9"/>
    </row>
    <row r="131" spans="2:2" x14ac:dyDescent="0.35">
      <c r="B131" s="9"/>
    </row>
    <row r="132" spans="2:2" x14ac:dyDescent="0.35">
      <c r="B132" s="9"/>
    </row>
    <row r="133" spans="2:2" x14ac:dyDescent="0.35">
      <c r="B133" s="9"/>
    </row>
    <row r="134" spans="2:2" x14ac:dyDescent="0.35">
      <c r="B134" s="9"/>
    </row>
    <row r="135" spans="2:2" x14ac:dyDescent="0.35">
      <c r="B135" s="9"/>
    </row>
    <row r="136" spans="2:2" x14ac:dyDescent="0.35">
      <c r="B136" s="9"/>
    </row>
    <row r="137" spans="2:2" x14ac:dyDescent="0.35">
      <c r="B137" s="9"/>
    </row>
    <row r="138" spans="2:2" x14ac:dyDescent="0.35">
      <c r="B138" s="9"/>
    </row>
    <row r="139" spans="2:2" x14ac:dyDescent="0.35">
      <c r="B139" s="9"/>
    </row>
    <row r="140" spans="2:2" x14ac:dyDescent="0.35">
      <c r="B140" s="9"/>
    </row>
    <row r="141" spans="2:2" x14ac:dyDescent="0.35">
      <c r="B141" s="9"/>
    </row>
    <row r="142" spans="2:2" x14ac:dyDescent="0.35">
      <c r="B142" s="9"/>
    </row>
    <row r="143" spans="2:2" x14ac:dyDescent="0.35">
      <c r="B143" s="9"/>
    </row>
    <row r="144" spans="2:2" x14ac:dyDescent="0.35">
      <c r="B144" s="9"/>
    </row>
    <row r="145" spans="2:2" x14ac:dyDescent="0.35">
      <c r="B145" s="9"/>
    </row>
    <row r="146" spans="2:2" x14ac:dyDescent="0.35">
      <c r="B146" s="9"/>
    </row>
    <row r="147" spans="2:2" x14ac:dyDescent="0.35">
      <c r="B147" s="9"/>
    </row>
    <row r="148" spans="2:2" x14ac:dyDescent="0.35">
      <c r="B148" s="9"/>
    </row>
    <row r="149" spans="2:2" x14ac:dyDescent="0.35">
      <c r="B149" s="9"/>
    </row>
    <row r="150" spans="2:2" x14ac:dyDescent="0.35">
      <c r="B150" s="9"/>
    </row>
    <row r="151" spans="2:2" x14ac:dyDescent="0.35">
      <c r="B151" s="9"/>
    </row>
    <row r="152" spans="2:2" x14ac:dyDescent="0.35">
      <c r="B152" s="9"/>
    </row>
    <row r="153" spans="2:2" x14ac:dyDescent="0.35">
      <c r="B153" s="9"/>
    </row>
    <row r="154" spans="2:2" x14ac:dyDescent="0.35">
      <c r="B154" s="9"/>
    </row>
    <row r="155" spans="2:2" x14ac:dyDescent="0.35">
      <c r="B155" s="9"/>
    </row>
    <row r="156" spans="2:2" x14ac:dyDescent="0.35">
      <c r="B156" s="9"/>
    </row>
    <row r="157" spans="2:2" x14ac:dyDescent="0.35">
      <c r="B157" s="9"/>
    </row>
    <row r="158" spans="2:2" x14ac:dyDescent="0.35">
      <c r="B158" s="9"/>
    </row>
    <row r="159" spans="2:2" x14ac:dyDescent="0.35">
      <c r="B159" s="9"/>
    </row>
    <row r="160" spans="2:2" x14ac:dyDescent="0.35">
      <c r="B160" s="9"/>
    </row>
    <row r="161" spans="2:2" x14ac:dyDescent="0.35">
      <c r="B161" s="9"/>
    </row>
    <row r="162" spans="2:2" x14ac:dyDescent="0.35">
      <c r="B162" s="9"/>
    </row>
    <row r="163" spans="2:2" x14ac:dyDescent="0.35">
      <c r="B163" s="9"/>
    </row>
    <row r="164" spans="2:2" x14ac:dyDescent="0.35">
      <c r="B164" s="9"/>
    </row>
    <row r="165" spans="2:2" x14ac:dyDescent="0.35">
      <c r="B165" s="9"/>
    </row>
    <row r="166" spans="2:2" x14ac:dyDescent="0.35">
      <c r="B166" s="9"/>
    </row>
    <row r="167" spans="2:2" x14ac:dyDescent="0.35">
      <c r="B167" s="9"/>
    </row>
    <row r="168" spans="2:2" x14ac:dyDescent="0.35">
      <c r="B168" s="9"/>
    </row>
    <row r="169" spans="2:2" x14ac:dyDescent="0.35">
      <c r="B169" s="9"/>
    </row>
    <row r="170" spans="2:2" x14ac:dyDescent="0.35">
      <c r="B170" s="9"/>
    </row>
    <row r="171" spans="2:2" x14ac:dyDescent="0.35">
      <c r="B171" s="9"/>
    </row>
    <row r="172" spans="2:2" x14ac:dyDescent="0.35">
      <c r="B172" s="9"/>
    </row>
    <row r="173" spans="2:2" x14ac:dyDescent="0.35">
      <c r="B173" s="9"/>
    </row>
    <row r="174" spans="2:2" x14ac:dyDescent="0.35">
      <c r="B174" s="9"/>
    </row>
    <row r="175" spans="2:2" x14ac:dyDescent="0.35">
      <c r="B175" s="9"/>
    </row>
    <row r="176" spans="2:2" x14ac:dyDescent="0.35">
      <c r="B176" s="9"/>
    </row>
    <row r="177" spans="2:2" x14ac:dyDescent="0.35">
      <c r="B177" s="9"/>
    </row>
    <row r="178" spans="2:2" x14ac:dyDescent="0.35">
      <c r="B178" s="9"/>
    </row>
    <row r="179" spans="2:2" x14ac:dyDescent="0.35">
      <c r="B179" s="9"/>
    </row>
    <row r="180" spans="2:2" x14ac:dyDescent="0.35">
      <c r="B180" s="9"/>
    </row>
    <row r="181" spans="2:2" x14ac:dyDescent="0.35">
      <c r="B181" s="9"/>
    </row>
    <row r="182" spans="2:2" x14ac:dyDescent="0.35">
      <c r="B182" s="9"/>
    </row>
    <row r="183" spans="2:2" x14ac:dyDescent="0.35">
      <c r="B183" s="9"/>
    </row>
    <row r="184" spans="2:2" x14ac:dyDescent="0.35">
      <c r="B184" s="9"/>
    </row>
    <row r="185" spans="2:2" x14ac:dyDescent="0.35">
      <c r="B185" s="9"/>
    </row>
    <row r="186" spans="2:2" x14ac:dyDescent="0.35">
      <c r="B186" s="9"/>
    </row>
    <row r="187" spans="2:2" x14ac:dyDescent="0.35">
      <c r="B187" s="9"/>
    </row>
    <row r="188" spans="2:2" x14ac:dyDescent="0.35">
      <c r="B188" s="9"/>
    </row>
    <row r="189" spans="2:2" x14ac:dyDescent="0.35">
      <c r="B189" s="9"/>
    </row>
    <row r="190" spans="2:2" x14ac:dyDescent="0.35">
      <c r="B190" s="9"/>
    </row>
    <row r="191" spans="2:2" x14ac:dyDescent="0.35">
      <c r="B191" s="9"/>
    </row>
    <row r="192" spans="2:2" x14ac:dyDescent="0.35">
      <c r="B192" s="9"/>
    </row>
    <row r="193" spans="2:2" x14ac:dyDescent="0.35">
      <c r="B193" s="9"/>
    </row>
    <row r="194" spans="2:2" x14ac:dyDescent="0.35">
      <c r="B194" s="9"/>
    </row>
    <row r="195" spans="2:2" x14ac:dyDescent="0.35">
      <c r="B195" s="9"/>
    </row>
    <row r="196" spans="2:2" x14ac:dyDescent="0.35">
      <c r="B196" s="9"/>
    </row>
    <row r="197" spans="2:2" x14ac:dyDescent="0.35">
      <c r="B197" s="9"/>
    </row>
    <row r="198" spans="2:2" x14ac:dyDescent="0.35">
      <c r="B198" s="9"/>
    </row>
    <row r="199" spans="2:2" x14ac:dyDescent="0.35">
      <c r="B199" s="9"/>
    </row>
    <row r="200" spans="2:2" x14ac:dyDescent="0.35">
      <c r="B200" s="9"/>
    </row>
    <row r="201" spans="2:2" x14ac:dyDescent="0.35">
      <c r="B201" s="9"/>
    </row>
    <row r="202" spans="2:2" x14ac:dyDescent="0.35">
      <c r="B202" s="9"/>
    </row>
    <row r="203" spans="2:2" x14ac:dyDescent="0.35">
      <c r="B203" s="9"/>
    </row>
    <row r="204" spans="2:2" x14ac:dyDescent="0.35">
      <c r="B204" s="9"/>
    </row>
    <row r="205" spans="2:2" x14ac:dyDescent="0.35">
      <c r="B205" s="9"/>
    </row>
    <row r="206" spans="2:2" x14ac:dyDescent="0.35">
      <c r="B206" s="9"/>
    </row>
    <row r="207" spans="2:2" x14ac:dyDescent="0.35">
      <c r="B207" s="9"/>
    </row>
    <row r="208" spans="2:2" x14ac:dyDescent="0.35">
      <c r="B208" s="9"/>
    </row>
    <row r="209" spans="2:2" x14ac:dyDescent="0.35">
      <c r="B209" s="9"/>
    </row>
    <row r="210" spans="2:2" x14ac:dyDescent="0.35">
      <c r="B210" s="9"/>
    </row>
    <row r="211" spans="2:2" x14ac:dyDescent="0.35">
      <c r="B211" s="9"/>
    </row>
    <row r="212" spans="2:2" x14ac:dyDescent="0.35">
      <c r="B212" s="9"/>
    </row>
    <row r="213" spans="2:2" x14ac:dyDescent="0.35">
      <c r="B213" s="9"/>
    </row>
    <row r="214" spans="2:2" x14ac:dyDescent="0.35">
      <c r="B214" s="9"/>
    </row>
    <row r="215" spans="2:2" x14ac:dyDescent="0.35">
      <c r="B215" s="9"/>
    </row>
    <row r="216" spans="2:2" x14ac:dyDescent="0.35">
      <c r="B216" s="9"/>
    </row>
    <row r="217" spans="2:2" x14ac:dyDescent="0.35">
      <c r="B217" s="9"/>
    </row>
    <row r="218" spans="2:2" x14ac:dyDescent="0.35">
      <c r="B218" s="9"/>
    </row>
    <row r="219" spans="2:2" x14ac:dyDescent="0.35">
      <c r="B219" s="9"/>
    </row>
    <row r="220" spans="2:2" x14ac:dyDescent="0.35">
      <c r="B220" s="9"/>
    </row>
    <row r="221" spans="2:2" x14ac:dyDescent="0.35">
      <c r="B221" s="9"/>
    </row>
    <row r="222" spans="2:2" x14ac:dyDescent="0.35">
      <c r="B222" s="9"/>
    </row>
    <row r="223" spans="2:2" x14ac:dyDescent="0.35">
      <c r="B223" s="9"/>
    </row>
    <row r="224" spans="2:2" x14ac:dyDescent="0.35">
      <c r="B224" s="9"/>
    </row>
    <row r="225" spans="2:2" x14ac:dyDescent="0.35">
      <c r="B225" s="9"/>
    </row>
    <row r="226" spans="2:2" x14ac:dyDescent="0.35">
      <c r="B226" s="9"/>
    </row>
    <row r="227" spans="2:2" x14ac:dyDescent="0.35">
      <c r="B227" s="9"/>
    </row>
    <row r="228" spans="2:2" x14ac:dyDescent="0.35">
      <c r="B228" s="9"/>
    </row>
    <row r="229" spans="2:2" x14ac:dyDescent="0.35">
      <c r="B229" s="9"/>
    </row>
    <row r="230" spans="2:2" x14ac:dyDescent="0.35">
      <c r="B230" s="9"/>
    </row>
    <row r="231" spans="2:2" x14ac:dyDescent="0.35">
      <c r="B231" s="9"/>
    </row>
    <row r="232" spans="2:2" x14ac:dyDescent="0.35">
      <c r="B232" s="9"/>
    </row>
    <row r="233" spans="2:2" x14ac:dyDescent="0.35">
      <c r="B233" s="9"/>
    </row>
    <row r="234" spans="2:2" x14ac:dyDescent="0.35">
      <c r="B234" s="9"/>
    </row>
    <row r="235" spans="2:2" x14ac:dyDescent="0.35">
      <c r="B235" s="9"/>
    </row>
    <row r="236" spans="2:2" x14ac:dyDescent="0.35">
      <c r="B236" s="9"/>
    </row>
    <row r="237" spans="2:2" x14ac:dyDescent="0.35">
      <c r="B237" s="9"/>
    </row>
    <row r="238" spans="2:2" x14ac:dyDescent="0.35">
      <c r="B238" s="9"/>
    </row>
    <row r="239" spans="2:2" x14ac:dyDescent="0.35">
      <c r="B239" s="9"/>
    </row>
    <row r="240" spans="2:2" x14ac:dyDescent="0.35">
      <c r="B240" s="9"/>
    </row>
    <row r="241" spans="2:2" x14ac:dyDescent="0.35">
      <c r="B241" s="9"/>
    </row>
    <row r="242" spans="2:2" x14ac:dyDescent="0.35">
      <c r="B242" s="9"/>
    </row>
    <row r="243" spans="2:2" x14ac:dyDescent="0.35">
      <c r="B243" s="9"/>
    </row>
    <row r="244" spans="2:2" x14ac:dyDescent="0.35">
      <c r="B244" s="9"/>
    </row>
    <row r="245" spans="2:2" x14ac:dyDescent="0.35">
      <c r="B245" s="9"/>
    </row>
    <row r="246" spans="2:2" x14ac:dyDescent="0.35">
      <c r="B246" s="9"/>
    </row>
    <row r="247" spans="2:2" x14ac:dyDescent="0.35">
      <c r="B247" s="9"/>
    </row>
    <row r="248" spans="2:2" x14ac:dyDescent="0.35">
      <c r="B248" s="9"/>
    </row>
    <row r="249" spans="2:2" x14ac:dyDescent="0.35">
      <c r="B249" s="9"/>
    </row>
    <row r="250" spans="2:2" x14ac:dyDescent="0.35">
      <c r="B250" s="9"/>
    </row>
    <row r="251" spans="2:2" x14ac:dyDescent="0.35">
      <c r="B251" s="9"/>
    </row>
    <row r="252" spans="2:2" x14ac:dyDescent="0.35">
      <c r="B252" s="9"/>
    </row>
    <row r="253" spans="2:2" x14ac:dyDescent="0.35">
      <c r="B253" s="9"/>
    </row>
  </sheetData>
  <mergeCells count="3">
    <mergeCell ref="L3:M3"/>
    <mergeCell ref="D20:J20"/>
    <mergeCell ref="D21:J21"/>
  </mergeCells>
  <phoneticPr fontId="8" type="noConversion"/>
  <pageMargins left="0.25" right="0.25" top="0.75" bottom="0.75" header="0.3" footer="0.3"/>
  <pageSetup paperSize="3" scale="54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39"/>
  <sheetViews>
    <sheetView showGridLines="0" topLeftCell="A10" zoomScale="80" zoomScaleNormal="80" workbookViewId="0">
      <selection activeCell="T12" sqref="T12"/>
    </sheetView>
  </sheetViews>
  <sheetFormatPr defaultColWidth="8.796875" defaultRowHeight="12.75" x14ac:dyDescent="0.35"/>
  <cols>
    <col min="1" max="1" width="1.33203125" customWidth="1"/>
    <col min="2" max="2" width="4.46484375" customWidth="1"/>
    <col min="3" max="3" width="6.46484375" customWidth="1"/>
    <col min="4" max="4" width="6.796875" customWidth="1"/>
    <col min="5" max="5" width="3.6640625" customWidth="1"/>
    <col min="6" max="6" width="29" customWidth="1"/>
    <col min="7" max="7" width="9.59765625" customWidth="1"/>
    <col min="8" max="8" width="12.6640625" customWidth="1"/>
    <col min="9" max="9" width="10.46484375" customWidth="1"/>
    <col min="10" max="10" width="12.46484375" customWidth="1"/>
    <col min="11" max="11" width="12.33203125" customWidth="1"/>
    <col min="12" max="12" width="10.59765625" customWidth="1"/>
    <col min="13" max="13" width="14.06640625" customWidth="1"/>
    <col min="14" max="16" width="10.59765625" customWidth="1"/>
    <col min="17" max="17" width="13" customWidth="1"/>
    <col min="18" max="20" width="10.59765625" customWidth="1"/>
    <col min="21" max="21" width="13.1328125" customWidth="1"/>
    <col min="22" max="22" width="10.59765625" customWidth="1"/>
    <col min="23" max="23" width="13.1328125" customWidth="1"/>
    <col min="24" max="24" width="13.9296875" customWidth="1"/>
    <col min="25" max="29" width="10.59765625" customWidth="1"/>
    <col min="30" max="30" width="3.33203125" customWidth="1"/>
  </cols>
  <sheetData>
    <row r="1" spans="2:29" ht="29.25" customHeight="1" x14ac:dyDescent="0.6">
      <c r="B1" s="245" t="s">
        <v>126</v>
      </c>
      <c r="C1" s="245"/>
      <c r="D1" s="245"/>
      <c r="E1" s="245"/>
      <c r="F1" s="245"/>
      <c r="G1" s="245"/>
      <c r="H1" s="245"/>
      <c r="I1" s="245"/>
      <c r="J1" s="245"/>
      <c r="K1" s="32"/>
    </row>
    <row r="2" spans="2:29" ht="15" customHeight="1" x14ac:dyDescent="0.6">
      <c r="B2" s="34"/>
      <c r="C2" s="34"/>
      <c r="D2" s="34"/>
      <c r="E2" s="34"/>
      <c r="F2" s="34"/>
      <c r="G2" s="34"/>
      <c r="H2" s="31"/>
      <c r="I2" s="31"/>
      <c r="J2" s="31"/>
      <c r="K2" s="32"/>
    </row>
    <row r="3" spans="2:29" ht="15" customHeight="1" thickBot="1" x14ac:dyDescent="0.45">
      <c r="B3" s="55"/>
      <c r="C3" s="21"/>
      <c r="D3" s="22"/>
      <c r="E3" s="20"/>
      <c r="F3" s="20"/>
      <c r="G3" s="23"/>
      <c r="H3" s="17"/>
      <c r="I3" s="17"/>
      <c r="J3" s="17"/>
      <c r="K3" s="15"/>
    </row>
    <row r="4" spans="2:29" ht="15" customHeight="1" thickBot="1" x14ac:dyDescent="0.45">
      <c r="H4" s="268" t="s">
        <v>91</v>
      </c>
      <c r="I4" s="294"/>
      <c r="J4" s="269" t="s">
        <v>92</v>
      </c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300"/>
    </row>
    <row r="5" spans="2:29" s="244" customFormat="1" ht="15" customHeight="1" thickBot="1" x14ac:dyDescent="0.4">
      <c r="B5" s="295" t="s">
        <v>71</v>
      </c>
      <c r="C5" s="295"/>
      <c r="D5" s="295"/>
      <c r="E5" s="295"/>
      <c r="F5" s="295"/>
      <c r="G5" s="296"/>
      <c r="H5" s="239" t="s">
        <v>84</v>
      </c>
      <c r="I5" s="240"/>
      <c r="J5" s="241" t="s">
        <v>84</v>
      </c>
      <c r="K5" s="239" t="s">
        <v>85</v>
      </c>
      <c r="L5" s="239" t="s">
        <v>86</v>
      </c>
      <c r="M5" s="239" t="s">
        <v>87</v>
      </c>
      <c r="N5" s="239" t="s">
        <v>88</v>
      </c>
      <c r="O5" s="239" t="s">
        <v>89</v>
      </c>
      <c r="P5" s="239" t="s">
        <v>90</v>
      </c>
      <c r="Q5" s="239" t="s">
        <v>93</v>
      </c>
      <c r="R5" s="239" t="s">
        <v>94</v>
      </c>
      <c r="S5" s="239" t="s">
        <v>95</v>
      </c>
      <c r="T5" s="239" t="s">
        <v>96</v>
      </c>
      <c r="U5" s="239" t="s">
        <v>97</v>
      </c>
      <c r="V5" s="239" t="s">
        <v>99</v>
      </c>
      <c r="W5" s="239" t="s">
        <v>100</v>
      </c>
      <c r="X5" s="239" t="s">
        <v>168</v>
      </c>
      <c r="Y5" s="239" t="s">
        <v>102</v>
      </c>
      <c r="Z5" s="239" t="s">
        <v>103</v>
      </c>
      <c r="AA5" s="239" t="s">
        <v>104</v>
      </c>
      <c r="AB5" s="242" t="s">
        <v>105</v>
      </c>
      <c r="AC5" s="243" t="s">
        <v>174</v>
      </c>
    </row>
    <row r="6" spans="2:29" ht="15" customHeight="1" x14ac:dyDescent="0.4">
      <c r="B6" s="246"/>
      <c r="C6" s="247"/>
      <c r="D6" s="248"/>
      <c r="E6" s="249"/>
      <c r="F6" s="249"/>
      <c r="G6" s="250"/>
      <c r="H6" s="51">
        <v>2017</v>
      </c>
      <c r="I6" s="61"/>
      <c r="J6" s="58">
        <f>1+H6</f>
        <v>2018</v>
      </c>
      <c r="K6" s="10">
        <f t="shared" ref="K6:P6" si="0">1+J6</f>
        <v>2019</v>
      </c>
      <c r="L6" s="10">
        <f t="shared" si="0"/>
        <v>2020</v>
      </c>
      <c r="M6" s="10">
        <f t="shared" si="0"/>
        <v>2021</v>
      </c>
      <c r="N6" s="10">
        <f t="shared" si="0"/>
        <v>2022</v>
      </c>
      <c r="O6" s="10">
        <f t="shared" si="0"/>
        <v>2023</v>
      </c>
      <c r="P6" s="10">
        <f t="shared" si="0"/>
        <v>2024</v>
      </c>
      <c r="Q6" s="10">
        <f>1+P6</f>
        <v>2025</v>
      </c>
      <c r="R6" s="10">
        <f>1+Q6</f>
        <v>2026</v>
      </c>
      <c r="S6" s="10">
        <f>1+R6</f>
        <v>2027</v>
      </c>
      <c r="T6" s="10" t="s">
        <v>138</v>
      </c>
      <c r="U6" s="10" t="s">
        <v>139</v>
      </c>
      <c r="V6" s="10" t="s">
        <v>140</v>
      </c>
      <c r="W6" s="10" t="s">
        <v>141</v>
      </c>
      <c r="X6" s="10" t="s">
        <v>169</v>
      </c>
      <c r="Y6" s="10" t="s">
        <v>170</v>
      </c>
      <c r="Z6" s="10" t="s">
        <v>171</v>
      </c>
      <c r="AA6" s="10" t="s">
        <v>172</v>
      </c>
      <c r="AB6" s="10" t="s">
        <v>173</v>
      </c>
      <c r="AC6" s="113" t="s">
        <v>175</v>
      </c>
    </row>
    <row r="7" spans="2:29" ht="15" customHeight="1" thickBot="1" x14ac:dyDescent="0.45">
      <c r="B7" s="251"/>
      <c r="C7" s="252"/>
      <c r="D7" s="253"/>
      <c r="E7" s="254"/>
      <c r="F7" s="254"/>
      <c r="G7" s="254"/>
      <c r="H7" s="11" t="s">
        <v>72</v>
      </c>
      <c r="I7" s="62" t="s">
        <v>72</v>
      </c>
      <c r="J7" s="59" t="s">
        <v>72</v>
      </c>
      <c r="K7" s="11" t="s">
        <v>72</v>
      </c>
      <c r="L7" s="11" t="s">
        <v>72</v>
      </c>
      <c r="M7" s="11" t="s">
        <v>72</v>
      </c>
      <c r="N7" s="11" t="s">
        <v>72</v>
      </c>
      <c r="O7" s="11" t="s">
        <v>72</v>
      </c>
      <c r="P7" s="11" t="s">
        <v>72</v>
      </c>
      <c r="Q7" s="11" t="s">
        <v>72</v>
      </c>
      <c r="R7" s="11" t="s">
        <v>72</v>
      </c>
      <c r="S7" s="11" t="s">
        <v>72</v>
      </c>
      <c r="T7" s="11" t="s">
        <v>78</v>
      </c>
      <c r="U7" s="11" t="s">
        <v>78</v>
      </c>
      <c r="V7" s="11" t="s">
        <v>78</v>
      </c>
      <c r="W7" s="11" t="s">
        <v>72</v>
      </c>
      <c r="X7" s="11"/>
      <c r="Y7" s="11" t="s">
        <v>72</v>
      </c>
      <c r="Z7" s="11" t="s">
        <v>72</v>
      </c>
      <c r="AA7" s="11" t="s">
        <v>72</v>
      </c>
      <c r="AB7" s="109" t="s">
        <v>72</v>
      </c>
      <c r="AC7" s="114" t="s">
        <v>72</v>
      </c>
    </row>
    <row r="8" spans="2:29" ht="15" customHeight="1" x14ac:dyDescent="0.4">
      <c r="B8" s="2"/>
      <c r="C8" s="3"/>
      <c r="D8" s="3"/>
      <c r="E8" s="3"/>
      <c r="F8" s="3"/>
      <c r="G8" s="13"/>
      <c r="H8" s="36"/>
      <c r="I8" s="63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110"/>
      <c r="AC8" s="115"/>
    </row>
    <row r="9" spans="2:29" ht="15" customHeight="1" x14ac:dyDescent="0.4">
      <c r="B9" s="7">
        <v>3</v>
      </c>
      <c r="C9" s="4" t="s">
        <v>98</v>
      </c>
      <c r="D9" s="6"/>
      <c r="E9" s="5"/>
      <c r="F9" s="5"/>
      <c r="G9" s="12"/>
      <c r="H9" s="38"/>
      <c r="I9" s="64"/>
      <c r="J9" s="3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111"/>
      <c r="AC9" s="116"/>
    </row>
    <row r="10" spans="2:29" ht="15" customHeight="1" x14ac:dyDescent="0.4">
      <c r="B10" s="7"/>
      <c r="C10" s="4"/>
      <c r="D10" s="6" t="s">
        <v>60</v>
      </c>
      <c r="E10" s="5"/>
      <c r="F10" s="5"/>
      <c r="G10" s="12"/>
      <c r="H10" s="117">
        <f>+H34*$W$57</f>
        <v>11710</v>
      </c>
      <c r="I10" s="118">
        <f t="shared" ref="I10:AB10" si="1">+I34*$W$57</f>
        <v>0</v>
      </c>
      <c r="J10" s="119">
        <f t="shared" si="1"/>
        <v>11710</v>
      </c>
      <c r="K10" s="117">
        <f t="shared" si="1"/>
        <v>0</v>
      </c>
      <c r="L10" s="117">
        <f t="shared" si="1"/>
        <v>11710</v>
      </c>
      <c r="M10" s="117">
        <f t="shared" si="1"/>
        <v>0</v>
      </c>
      <c r="N10" s="117">
        <f t="shared" si="1"/>
        <v>11710</v>
      </c>
      <c r="O10" s="117">
        <f t="shared" si="1"/>
        <v>0</v>
      </c>
      <c r="P10" s="117">
        <f t="shared" si="1"/>
        <v>11710</v>
      </c>
      <c r="Q10" s="117">
        <f t="shared" si="1"/>
        <v>0</v>
      </c>
      <c r="R10" s="117">
        <f t="shared" si="1"/>
        <v>0</v>
      </c>
      <c r="S10" s="117">
        <f t="shared" si="1"/>
        <v>0</v>
      </c>
      <c r="T10" s="117">
        <f t="shared" si="1"/>
        <v>46840</v>
      </c>
      <c r="U10" s="117">
        <f t="shared" si="1"/>
        <v>46840</v>
      </c>
      <c r="V10" s="117">
        <f t="shared" si="1"/>
        <v>46840</v>
      </c>
      <c r="W10" s="117">
        <f t="shared" si="1"/>
        <v>46840</v>
      </c>
      <c r="X10" s="117">
        <f t="shared" si="1"/>
        <v>46840</v>
      </c>
      <c r="Y10" s="117">
        <f t="shared" si="1"/>
        <v>46840</v>
      </c>
      <c r="Z10" s="117">
        <f t="shared" si="1"/>
        <v>46840</v>
      </c>
      <c r="AA10" s="117">
        <f t="shared" si="1"/>
        <v>46840</v>
      </c>
      <c r="AB10" s="120">
        <f t="shared" si="1"/>
        <v>46840</v>
      </c>
      <c r="AC10" s="121">
        <f>SUM(J10:AB10)</f>
        <v>468400</v>
      </c>
    </row>
    <row r="11" spans="2:29" ht="15" customHeight="1" x14ac:dyDescent="0.4">
      <c r="B11" s="7"/>
      <c r="C11" s="4"/>
      <c r="D11" s="6" t="s">
        <v>108</v>
      </c>
      <c r="E11" s="5"/>
      <c r="F11" s="5"/>
      <c r="G11" s="12"/>
      <c r="H11" s="117">
        <f>+H35*$W$58</f>
        <v>0</v>
      </c>
      <c r="I11" s="118">
        <f t="shared" ref="I11:AB11" si="2">+I35*$W$58</f>
        <v>0</v>
      </c>
      <c r="J11" s="119">
        <f t="shared" si="2"/>
        <v>0</v>
      </c>
      <c r="K11" s="117">
        <f t="shared" si="2"/>
        <v>0</v>
      </c>
      <c r="L11" s="117">
        <f t="shared" si="2"/>
        <v>0</v>
      </c>
      <c r="M11" s="117">
        <f t="shared" si="2"/>
        <v>0</v>
      </c>
      <c r="N11" s="117">
        <f t="shared" si="2"/>
        <v>0</v>
      </c>
      <c r="O11" s="117">
        <f t="shared" si="2"/>
        <v>0</v>
      </c>
      <c r="P11" s="117">
        <f t="shared" si="2"/>
        <v>0</v>
      </c>
      <c r="Q11" s="117">
        <f t="shared" si="2"/>
        <v>0</v>
      </c>
      <c r="R11" s="117">
        <f t="shared" si="2"/>
        <v>45940</v>
      </c>
      <c r="S11" s="117">
        <f t="shared" si="2"/>
        <v>0</v>
      </c>
      <c r="T11" s="117">
        <f t="shared" si="2"/>
        <v>45940</v>
      </c>
      <c r="U11" s="117">
        <f t="shared" si="2"/>
        <v>45940</v>
      </c>
      <c r="V11" s="117">
        <f t="shared" si="2"/>
        <v>45940</v>
      </c>
      <c r="W11" s="117">
        <f t="shared" si="2"/>
        <v>45940</v>
      </c>
      <c r="X11" s="117">
        <f t="shared" si="2"/>
        <v>45940</v>
      </c>
      <c r="Y11" s="117">
        <f t="shared" si="2"/>
        <v>45940</v>
      </c>
      <c r="Z11" s="117">
        <f t="shared" si="2"/>
        <v>45940</v>
      </c>
      <c r="AA11" s="117">
        <f t="shared" si="2"/>
        <v>45940</v>
      </c>
      <c r="AB11" s="120">
        <f t="shared" si="2"/>
        <v>45940</v>
      </c>
      <c r="AC11" s="121">
        <f t="shared" ref="AC11:AC24" si="3">SUM(J11:AB11)</f>
        <v>459400</v>
      </c>
    </row>
    <row r="12" spans="2:29" ht="15" customHeight="1" x14ac:dyDescent="0.4">
      <c r="B12" s="7"/>
      <c r="C12" s="4"/>
      <c r="D12" s="6" t="s">
        <v>8</v>
      </c>
      <c r="E12" s="5"/>
      <c r="F12" s="5"/>
      <c r="G12" s="12"/>
      <c r="H12" s="117">
        <f>+H37*$W$61</f>
        <v>16090</v>
      </c>
      <c r="I12" s="117">
        <f t="shared" ref="I12:AB12" si="4">+I37*$W$61</f>
        <v>0</v>
      </c>
      <c r="J12" s="117">
        <f t="shared" si="4"/>
        <v>16090</v>
      </c>
      <c r="K12" s="117">
        <f t="shared" si="4"/>
        <v>0</v>
      </c>
      <c r="L12" s="117">
        <f t="shared" si="4"/>
        <v>16090</v>
      </c>
      <c r="M12" s="117">
        <f t="shared" si="4"/>
        <v>0</v>
      </c>
      <c r="N12" s="117">
        <f t="shared" si="4"/>
        <v>16090</v>
      </c>
      <c r="O12" s="117">
        <f t="shared" si="4"/>
        <v>0</v>
      </c>
      <c r="P12" s="117">
        <f t="shared" si="4"/>
        <v>16090</v>
      </c>
      <c r="Q12" s="117">
        <f t="shared" si="4"/>
        <v>0</v>
      </c>
      <c r="R12" s="117">
        <f t="shared" si="4"/>
        <v>16090</v>
      </c>
      <c r="S12" s="117">
        <f t="shared" si="4"/>
        <v>0</v>
      </c>
      <c r="T12" s="117">
        <f>+T37*$W$61</f>
        <v>80450</v>
      </c>
      <c r="U12" s="117">
        <f t="shared" si="4"/>
        <v>80450</v>
      </c>
      <c r="V12" s="117">
        <f t="shared" si="4"/>
        <v>80450</v>
      </c>
      <c r="W12" s="117">
        <f t="shared" si="4"/>
        <v>80450</v>
      </c>
      <c r="X12" s="117">
        <f t="shared" si="4"/>
        <v>80450</v>
      </c>
      <c r="Y12" s="117">
        <f t="shared" si="4"/>
        <v>80450</v>
      </c>
      <c r="Z12" s="117">
        <f t="shared" si="4"/>
        <v>80450</v>
      </c>
      <c r="AA12" s="117">
        <f t="shared" si="4"/>
        <v>80450</v>
      </c>
      <c r="AB12" s="117">
        <f t="shared" si="4"/>
        <v>80450</v>
      </c>
      <c r="AC12" s="121">
        <f t="shared" si="3"/>
        <v>804500</v>
      </c>
    </row>
    <row r="13" spans="2:29" ht="15" customHeight="1" x14ac:dyDescent="0.4">
      <c r="B13" s="7"/>
      <c r="C13" s="4"/>
      <c r="D13" s="6" t="s">
        <v>144</v>
      </c>
      <c r="E13" s="5"/>
      <c r="F13" s="5"/>
      <c r="G13" s="12"/>
      <c r="H13" s="117">
        <f>+H38*$W$62</f>
        <v>10750</v>
      </c>
      <c r="I13" s="117">
        <f t="shared" ref="I13:AB13" si="5">+I38*$W$62</f>
        <v>0</v>
      </c>
      <c r="J13" s="117">
        <f t="shared" si="5"/>
        <v>10750</v>
      </c>
      <c r="K13" s="117">
        <f t="shared" si="5"/>
        <v>0</v>
      </c>
      <c r="L13" s="117">
        <f t="shared" si="5"/>
        <v>10750</v>
      </c>
      <c r="M13" s="117">
        <f t="shared" si="5"/>
        <v>0</v>
      </c>
      <c r="N13" s="117">
        <f t="shared" si="5"/>
        <v>10750</v>
      </c>
      <c r="O13" s="117">
        <f t="shared" si="5"/>
        <v>0</v>
      </c>
      <c r="P13" s="117">
        <f t="shared" si="5"/>
        <v>10750</v>
      </c>
      <c r="Q13" s="117">
        <f t="shared" si="5"/>
        <v>0</v>
      </c>
      <c r="R13" s="117">
        <f t="shared" si="5"/>
        <v>10750</v>
      </c>
      <c r="S13" s="117">
        <f t="shared" si="5"/>
        <v>0</v>
      </c>
      <c r="T13" s="117">
        <f t="shared" si="5"/>
        <v>53750</v>
      </c>
      <c r="U13" s="117">
        <f t="shared" si="5"/>
        <v>53750</v>
      </c>
      <c r="V13" s="117">
        <f t="shared" si="5"/>
        <v>53750</v>
      </c>
      <c r="W13" s="117">
        <f t="shared" si="5"/>
        <v>53750</v>
      </c>
      <c r="X13" s="117">
        <f t="shared" si="5"/>
        <v>53750</v>
      </c>
      <c r="Y13" s="117">
        <f t="shared" si="5"/>
        <v>53750</v>
      </c>
      <c r="Z13" s="117">
        <f t="shared" si="5"/>
        <v>53750</v>
      </c>
      <c r="AA13" s="117">
        <f t="shared" si="5"/>
        <v>53750</v>
      </c>
      <c r="AB13" s="117">
        <f t="shared" si="5"/>
        <v>53750</v>
      </c>
      <c r="AC13" s="121">
        <f t="shared" si="3"/>
        <v>537500</v>
      </c>
    </row>
    <row r="14" spans="2:29" ht="15" customHeight="1" x14ac:dyDescent="0.4">
      <c r="B14" s="7"/>
      <c r="C14" s="4"/>
      <c r="D14" s="6" t="s">
        <v>10</v>
      </c>
      <c r="E14" s="5"/>
      <c r="F14" s="5"/>
      <c r="G14" s="12"/>
      <c r="H14" s="117">
        <f>+H39*$W$63</f>
        <v>0</v>
      </c>
      <c r="I14" s="117">
        <f t="shared" ref="I14:AB14" si="6">+I39*$W$63</f>
        <v>0</v>
      </c>
      <c r="J14" s="119">
        <f>+J39*$W$63</f>
        <v>19960</v>
      </c>
      <c r="K14" s="117">
        <f t="shared" si="6"/>
        <v>0</v>
      </c>
      <c r="L14" s="117">
        <f t="shared" si="6"/>
        <v>0</v>
      </c>
      <c r="M14" s="117">
        <f t="shared" si="6"/>
        <v>0</v>
      </c>
      <c r="N14" s="117">
        <f t="shared" si="6"/>
        <v>19960</v>
      </c>
      <c r="O14" s="117">
        <f t="shared" si="6"/>
        <v>0</v>
      </c>
      <c r="P14" s="117">
        <f t="shared" si="6"/>
        <v>0</v>
      </c>
      <c r="Q14" s="117">
        <f t="shared" si="6"/>
        <v>0</v>
      </c>
      <c r="R14" s="117">
        <f t="shared" si="6"/>
        <v>19960</v>
      </c>
      <c r="S14" s="117">
        <f t="shared" si="6"/>
        <v>0</v>
      </c>
      <c r="T14" s="117">
        <f t="shared" si="6"/>
        <v>59880</v>
      </c>
      <c r="U14" s="117">
        <f t="shared" si="6"/>
        <v>39920</v>
      </c>
      <c r="V14" s="117">
        <f t="shared" si="6"/>
        <v>59880</v>
      </c>
      <c r="W14" s="117">
        <f t="shared" si="6"/>
        <v>39920</v>
      </c>
      <c r="X14" s="117">
        <f t="shared" si="6"/>
        <v>59880</v>
      </c>
      <c r="Y14" s="117">
        <f t="shared" si="6"/>
        <v>39920</v>
      </c>
      <c r="Z14" s="117">
        <f t="shared" si="6"/>
        <v>59880</v>
      </c>
      <c r="AA14" s="117">
        <f t="shared" si="6"/>
        <v>39920</v>
      </c>
      <c r="AB14" s="120">
        <f t="shared" si="6"/>
        <v>59880</v>
      </c>
      <c r="AC14" s="121">
        <f t="shared" si="3"/>
        <v>518960</v>
      </c>
    </row>
    <row r="15" spans="2:29" ht="15" customHeight="1" x14ac:dyDescent="0.4">
      <c r="B15" s="7"/>
      <c r="C15" s="4"/>
      <c r="D15" s="6"/>
      <c r="E15" s="5"/>
      <c r="F15" s="5"/>
      <c r="G15" s="12"/>
      <c r="H15" s="117">
        <f>+H40*$W$64</f>
        <v>0</v>
      </c>
      <c r="I15" s="117">
        <f t="shared" ref="I15:AB15" si="7">+I40*$W$64</f>
        <v>0</v>
      </c>
      <c r="J15" s="119">
        <f t="shared" si="7"/>
        <v>0</v>
      </c>
      <c r="K15" s="117">
        <f t="shared" si="7"/>
        <v>0</v>
      </c>
      <c r="L15" s="117">
        <f t="shared" si="7"/>
        <v>0</v>
      </c>
      <c r="M15" s="117">
        <f t="shared" si="7"/>
        <v>0</v>
      </c>
      <c r="N15" s="117">
        <f t="shared" si="7"/>
        <v>0</v>
      </c>
      <c r="O15" s="117">
        <f t="shared" si="7"/>
        <v>0</v>
      </c>
      <c r="P15" s="117">
        <f t="shared" si="7"/>
        <v>0</v>
      </c>
      <c r="Q15" s="117">
        <f t="shared" si="7"/>
        <v>0</v>
      </c>
      <c r="R15" s="117">
        <f t="shared" si="7"/>
        <v>0</v>
      </c>
      <c r="S15" s="117">
        <f t="shared" si="7"/>
        <v>0</v>
      </c>
      <c r="T15" s="117">
        <f t="shared" si="7"/>
        <v>0</v>
      </c>
      <c r="U15" s="117">
        <f t="shared" si="7"/>
        <v>0</v>
      </c>
      <c r="V15" s="117">
        <f t="shared" si="7"/>
        <v>0</v>
      </c>
      <c r="W15" s="117">
        <f t="shared" si="7"/>
        <v>0</v>
      </c>
      <c r="X15" s="117">
        <f t="shared" si="7"/>
        <v>0</v>
      </c>
      <c r="Y15" s="117">
        <f t="shared" si="7"/>
        <v>0</v>
      </c>
      <c r="Z15" s="117">
        <f t="shared" si="7"/>
        <v>0</v>
      </c>
      <c r="AA15" s="117">
        <f t="shared" si="7"/>
        <v>0</v>
      </c>
      <c r="AB15" s="120">
        <f t="shared" si="7"/>
        <v>0</v>
      </c>
      <c r="AC15" s="121">
        <f t="shared" si="3"/>
        <v>0</v>
      </c>
    </row>
    <row r="16" spans="2:29" ht="15" hidden="1" customHeight="1" x14ac:dyDescent="0.4">
      <c r="B16" s="7"/>
      <c r="C16" s="4"/>
      <c r="D16" s="6"/>
      <c r="E16" s="5"/>
      <c r="F16" s="5"/>
      <c r="G16" s="12"/>
      <c r="H16" s="117">
        <f>+H42*$W$67</f>
        <v>0</v>
      </c>
      <c r="I16" s="118">
        <f t="shared" ref="I16:AB16" si="8">+I42*$W$67</f>
        <v>0</v>
      </c>
      <c r="J16" s="119">
        <f t="shared" si="8"/>
        <v>0</v>
      </c>
      <c r="K16" s="117">
        <f t="shared" si="8"/>
        <v>0</v>
      </c>
      <c r="L16" s="117">
        <f t="shared" si="8"/>
        <v>0</v>
      </c>
      <c r="M16" s="117">
        <f t="shared" si="8"/>
        <v>0</v>
      </c>
      <c r="N16" s="117">
        <f t="shared" si="8"/>
        <v>0</v>
      </c>
      <c r="O16" s="117">
        <f t="shared" si="8"/>
        <v>0</v>
      </c>
      <c r="P16" s="117">
        <f t="shared" si="8"/>
        <v>0</v>
      </c>
      <c r="Q16" s="117">
        <f t="shared" si="8"/>
        <v>0</v>
      </c>
      <c r="R16" s="117">
        <f t="shared" si="8"/>
        <v>0</v>
      </c>
      <c r="S16" s="117">
        <f t="shared" si="8"/>
        <v>0</v>
      </c>
      <c r="T16" s="117">
        <f t="shared" si="8"/>
        <v>0</v>
      </c>
      <c r="U16" s="117">
        <f t="shared" si="8"/>
        <v>0</v>
      </c>
      <c r="V16" s="117">
        <f t="shared" si="8"/>
        <v>0</v>
      </c>
      <c r="W16" s="117">
        <f t="shared" si="8"/>
        <v>0</v>
      </c>
      <c r="X16" s="117">
        <f t="shared" si="8"/>
        <v>0</v>
      </c>
      <c r="Y16" s="117">
        <f t="shared" si="8"/>
        <v>0</v>
      </c>
      <c r="Z16" s="117">
        <f t="shared" si="8"/>
        <v>0</v>
      </c>
      <c r="AA16" s="117">
        <f t="shared" si="8"/>
        <v>0</v>
      </c>
      <c r="AB16" s="120">
        <f t="shared" si="8"/>
        <v>0</v>
      </c>
      <c r="AC16" s="121">
        <f t="shared" si="3"/>
        <v>0</v>
      </c>
    </row>
    <row r="17" spans="1:33" ht="15" hidden="1" customHeight="1" x14ac:dyDescent="0.4">
      <c r="B17" s="7"/>
      <c r="C17" s="4"/>
      <c r="D17" s="6"/>
      <c r="E17" s="5"/>
      <c r="F17" s="5"/>
      <c r="G17" s="12"/>
      <c r="H17" s="117">
        <f>+H43*$W$68</f>
        <v>0</v>
      </c>
      <c r="I17" s="118">
        <f t="shared" ref="I17:AB17" si="9">+I43*$W$68</f>
        <v>0</v>
      </c>
      <c r="J17" s="119">
        <f t="shared" si="9"/>
        <v>0</v>
      </c>
      <c r="K17" s="117">
        <f t="shared" si="9"/>
        <v>0</v>
      </c>
      <c r="L17" s="117">
        <f t="shared" si="9"/>
        <v>0</v>
      </c>
      <c r="M17" s="117">
        <f t="shared" si="9"/>
        <v>0</v>
      </c>
      <c r="N17" s="117">
        <f t="shared" si="9"/>
        <v>0</v>
      </c>
      <c r="O17" s="117">
        <f t="shared" si="9"/>
        <v>0</v>
      </c>
      <c r="P17" s="117">
        <f t="shared" si="9"/>
        <v>0</v>
      </c>
      <c r="Q17" s="117">
        <f t="shared" si="9"/>
        <v>0</v>
      </c>
      <c r="R17" s="117">
        <f t="shared" si="9"/>
        <v>0</v>
      </c>
      <c r="S17" s="117">
        <f t="shared" si="9"/>
        <v>0</v>
      </c>
      <c r="T17" s="117">
        <f t="shared" si="9"/>
        <v>0</v>
      </c>
      <c r="U17" s="117">
        <f t="shared" si="9"/>
        <v>0</v>
      </c>
      <c r="V17" s="117">
        <f t="shared" si="9"/>
        <v>0</v>
      </c>
      <c r="W17" s="117">
        <f t="shared" si="9"/>
        <v>0</v>
      </c>
      <c r="X17" s="117">
        <f t="shared" si="9"/>
        <v>0</v>
      </c>
      <c r="Y17" s="117">
        <f t="shared" si="9"/>
        <v>0</v>
      </c>
      <c r="Z17" s="117">
        <f t="shared" si="9"/>
        <v>0</v>
      </c>
      <c r="AA17" s="117">
        <f t="shared" si="9"/>
        <v>0</v>
      </c>
      <c r="AB17" s="120">
        <f t="shared" si="9"/>
        <v>0</v>
      </c>
      <c r="AC17" s="121">
        <f t="shared" si="3"/>
        <v>0</v>
      </c>
    </row>
    <row r="18" spans="1:33" ht="15" hidden="1" customHeight="1" x14ac:dyDescent="0.4">
      <c r="B18" s="7"/>
      <c r="C18" s="4"/>
      <c r="D18" s="6"/>
      <c r="E18" s="5"/>
      <c r="F18" s="5"/>
      <c r="G18" s="12"/>
      <c r="H18" s="117">
        <f>+H44*$W$70</f>
        <v>0</v>
      </c>
      <c r="I18" s="117">
        <f t="shared" ref="I18:AC18" si="10">+I44*$W$70</f>
        <v>0</v>
      </c>
      <c r="J18" s="117">
        <f t="shared" si="10"/>
        <v>0</v>
      </c>
      <c r="K18" s="117">
        <f t="shared" si="10"/>
        <v>0</v>
      </c>
      <c r="L18" s="117">
        <f t="shared" si="10"/>
        <v>0</v>
      </c>
      <c r="M18" s="117">
        <f t="shared" si="10"/>
        <v>0</v>
      </c>
      <c r="N18" s="117">
        <f t="shared" si="10"/>
        <v>0</v>
      </c>
      <c r="O18" s="117">
        <f t="shared" si="10"/>
        <v>0</v>
      </c>
      <c r="P18" s="117">
        <f t="shared" si="10"/>
        <v>0</v>
      </c>
      <c r="Q18" s="117">
        <f t="shared" si="10"/>
        <v>0</v>
      </c>
      <c r="R18" s="117">
        <f t="shared" si="10"/>
        <v>0</v>
      </c>
      <c r="S18" s="117">
        <f t="shared" si="10"/>
        <v>0</v>
      </c>
      <c r="T18" s="117">
        <f t="shared" si="10"/>
        <v>0</v>
      </c>
      <c r="U18" s="117">
        <f t="shared" si="10"/>
        <v>0</v>
      </c>
      <c r="V18" s="117">
        <f t="shared" si="10"/>
        <v>0</v>
      </c>
      <c r="W18" s="117">
        <f t="shared" si="10"/>
        <v>0</v>
      </c>
      <c r="X18" s="117">
        <f t="shared" si="10"/>
        <v>0</v>
      </c>
      <c r="Y18" s="117">
        <f t="shared" si="10"/>
        <v>0</v>
      </c>
      <c r="Z18" s="117">
        <f t="shared" si="10"/>
        <v>0</v>
      </c>
      <c r="AA18" s="117">
        <f t="shared" si="10"/>
        <v>0</v>
      </c>
      <c r="AB18" s="120">
        <f t="shared" si="10"/>
        <v>0</v>
      </c>
      <c r="AC18" s="121">
        <f t="shared" si="10"/>
        <v>0</v>
      </c>
    </row>
    <row r="19" spans="1:33" ht="15" hidden="1" customHeight="1" x14ac:dyDescent="0.4">
      <c r="B19" s="7"/>
      <c r="C19" s="4"/>
      <c r="D19" s="6"/>
      <c r="E19" s="5"/>
      <c r="F19" s="5"/>
      <c r="G19" s="12"/>
      <c r="H19" s="117"/>
      <c r="I19" s="118"/>
      <c r="J19" s="119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20"/>
      <c r="AC19" s="121">
        <f t="shared" si="3"/>
        <v>0</v>
      </c>
    </row>
    <row r="20" spans="1:33" ht="15" hidden="1" customHeight="1" x14ac:dyDescent="0.4">
      <c r="B20" s="7"/>
      <c r="C20" s="4"/>
      <c r="D20" s="6"/>
      <c r="E20" s="5"/>
      <c r="F20" s="5"/>
      <c r="G20" s="12"/>
      <c r="H20" s="117">
        <f>+H46*$W$73</f>
        <v>0</v>
      </c>
      <c r="I20" s="118">
        <f t="shared" ref="I20:AB20" si="11">+I46*$W$73</f>
        <v>0</v>
      </c>
      <c r="J20" s="119">
        <f t="shared" si="11"/>
        <v>0</v>
      </c>
      <c r="K20" s="117">
        <f t="shared" si="11"/>
        <v>0</v>
      </c>
      <c r="L20" s="117">
        <f t="shared" si="11"/>
        <v>0</v>
      </c>
      <c r="M20" s="117">
        <f t="shared" si="11"/>
        <v>0</v>
      </c>
      <c r="N20" s="117">
        <f t="shared" si="11"/>
        <v>0</v>
      </c>
      <c r="O20" s="117">
        <f t="shared" si="11"/>
        <v>0</v>
      </c>
      <c r="P20" s="117">
        <f t="shared" si="11"/>
        <v>0</v>
      </c>
      <c r="Q20" s="117">
        <f t="shared" si="11"/>
        <v>0</v>
      </c>
      <c r="R20" s="117">
        <f t="shared" si="11"/>
        <v>0</v>
      </c>
      <c r="S20" s="117">
        <f t="shared" si="11"/>
        <v>0</v>
      </c>
      <c r="T20" s="117">
        <f t="shared" si="11"/>
        <v>0</v>
      </c>
      <c r="U20" s="117">
        <f t="shared" si="11"/>
        <v>0</v>
      </c>
      <c r="V20" s="117">
        <f t="shared" si="11"/>
        <v>0</v>
      </c>
      <c r="W20" s="117">
        <f t="shared" si="11"/>
        <v>0</v>
      </c>
      <c r="X20" s="117">
        <f t="shared" si="11"/>
        <v>0</v>
      </c>
      <c r="Y20" s="117">
        <f t="shared" si="11"/>
        <v>0</v>
      </c>
      <c r="Z20" s="117">
        <f t="shared" si="11"/>
        <v>0</v>
      </c>
      <c r="AA20" s="117">
        <f t="shared" si="11"/>
        <v>0</v>
      </c>
      <c r="AB20" s="120">
        <f t="shared" si="11"/>
        <v>0</v>
      </c>
      <c r="AC20" s="121">
        <f t="shared" si="3"/>
        <v>0</v>
      </c>
    </row>
    <row r="21" spans="1:33" ht="15" hidden="1" customHeight="1" x14ac:dyDescent="0.4">
      <c r="B21" s="7"/>
      <c r="C21" s="4"/>
      <c r="D21" s="6"/>
      <c r="E21" s="5"/>
      <c r="F21" s="5"/>
      <c r="G21" s="12"/>
      <c r="H21" s="117">
        <f>+H47*$W$74</f>
        <v>0</v>
      </c>
      <c r="I21" s="118">
        <f t="shared" ref="I21:AB21" si="12">+I47*$W$74</f>
        <v>0</v>
      </c>
      <c r="J21" s="119">
        <f t="shared" si="12"/>
        <v>0</v>
      </c>
      <c r="K21" s="117">
        <f t="shared" si="12"/>
        <v>0</v>
      </c>
      <c r="L21" s="117">
        <f t="shared" si="12"/>
        <v>0</v>
      </c>
      <c r="M21" s="117">
        <f t="shared" si="12"/>
        <v>0</v>
      </c>
      <c r="N21" s="117">
        <f t="shared" si="12"/>
        <v>0</v>
      </c>
      <c r="O21" s="117">
        <f t="shared" si="12"/>
        <v>0</v>
      </c>
      <c r="P21" s="117">
        <f t="shared" si="12"/>
        <v>0</v>
      </c>
      <c r="Q21" s="117">
        <f t="shared" si="12"/>
        <v>0</v>
      </c>
      <c r="R21" s="117">
        <f t="shared" si="12"/>
        <v>0</v>
      </c>
      <c r="S21" s="117">
        <f t="shared" si="12"/>
        <v>0</v>
      </c>
      <c r="T21" s="117">
        <f t="shared" si="12"/>
        <v>0</v>
      </c>
      <c r="U21" s="117">
        <f t="shared" si="12"/>
        <v>0</v>
      </c>
      <c r="V21" s="117">
        <f t="shared" si="12"/>
        <v>0</v>
      </c>
      <c r="W21" s="117">
        <f t="shared" si="12"/>
        <v>0</v>
      </c>
      <c r="X21" s="117">
        <f t="shared" si="12"/>
        <v>0</v>
      </c>
      <c r="Y21" s="117">
        <f t="shared" si="12"/>
        <v>0</v>
      </c>
      <c r="Z21" s="117">
        <f t="shared" si="12"/>
        <v>0</v>
      </c>
      <c r="AA21" s="117">
        <f t="shared" si="12"/>
        <v>0</v>
      </c>
      <c r="AB21" s="120">
        <f t="shared" si="12"/>
        <v>0</v>
      </c>
      <c r="AC21" s="121">
        <f t="shared" si="3"/>
        <v>0</v>
      </c>
    </row>
    <row r="22" spans="1:33" ht="15" hidden="1" customHeight="1" x14ac:dyDescent="0.4">
      <c r="B22" s="7"/>
      <c r="C22" s="4"/>
      <c r="D22" s="6"/>
      <c r="E22" s="5"/>
      <c r="F22" s="5"/>
      <c r="G22" s="12"/>
      <c r="H22" s="117">
        <f>+H48*$W$75</f>
        <v>0</v>
      </c>
      <c r="I22" s="118">
        <f t="shared" ref="I22:AB22" si="13">+I48*$W$75</f>
        <v>0</v>
      </c>
      <c r="J22" s="119">
        <f t="shared" si="13"/>
        <v>0</v>
      </c>
      <c r="K22" s="117">
        <f t="shared" si="13"/>
        <v>0</v>
      </c>
      <c r="L22" s="117">
        <f t="shared" si="13"/>
        <v>0</v>
      </c>
      <c r="M22" s="117">
        <f t="shared" si="13"/>
        <v>0</v>
      </c>
      <c r="N22" s="117">
        <f t="shared" si="13"/>
        <v>0</v>
      </c>
      <c r="O22" s="117">
        <f t="shared" si="13"/>
        <v>0</v>
      </c>
      <c r="P22" s="117">
        <f t="shared" si="13"/>
        <v>0</v>
      </c>
      <c r="Q22" s="117">
        <f t="shared" si="13"/>
        <v>0</v>
      </c>
      <c r="R22" s="117">
        <f t="shared" si="13"/>
        <v>0</v>
      </c>
      <c r="S22" s="117">
        <f t="shared" si="13"/>
        <v>0</v>
      </c>
      <c r="T22" s="117">
        <f t="shared" si="13"/>
        <v>0</v>
      </c>
      <c r="U22" s="117">
        <f t="shared" si="13"/>
        <v>0</v>
      </c>
      <c r="V22" s="117">
        <f t="shared" si="13"/>
        <v>0</v>
      </c>
      <c r="W22" s="117">
        <f t="shared" si="13"/>
        <v>0</v>
      </c>
      <c r="X22" s="117">
        <f t="shared" si="13"/>
        <v>0</v>
      </c>
      <c r="Y22" s="117">
        <f t="shared" si="13"/>
        <v>0</v>
      </c>
      <c r="Z22" s="117">
        <f t="shared" si="13"/>
        <v>0</v>
      </c>
      <c r="AA22" s="117">
        <f t="shared" si="13"/>
        <v>0</v>
      </c>
      <c r="AB22" s="120">
        <f t="shared" si="13"/>
        <v>0</v>
      </c>
      <c r="AC22" s="121">
        <f t="shared" si="3"/>
        <v>0</v>
      </c>
    </row>
    <row r="23" spans="1:33" ht="15" hidden="1" customHeight="1" x14ac:dyDescent="0.4">
      <c r="B23" s="7"/>
      <c r="C23" s="4"/>
      <c r="D23" s="6"/>
      <c r="E23" s="5"/>
      <c r="F23" s="5"/>
      <c r="G23" s="12"/>
      <c r="H23" s="117">
        <f>+H49*$W$76</f>
        <v>0</v>
      </c>
      <c r="I23" s="118">
        <f t="shared" ref="I23:AB23" si="14">+I49*$W$76</f>
        <v>0</v>
      </c>
      <c r="J23" s="119">
        <f t="shared" si="14"/>
        <v>0</v>
      </c>
      <c r="K23" s="117">
        <f t="shared" si="14"/>
        <v>0</v>
      </c>
      <c r="L23" s="117">
        <f t="shared" si="14"/>
        <v>0</v>
      </c>
      <c r="M23" s="117">
        <f t="shared" si="14"/>
        <v>0</v>
      </c>
      <c r="N23" s="117">
        <f t="shared" si="14"/>
        <v>0</v>
      </c>
      <c r="O23" s="117">
        <f t="shared" si="14"/>
        <v>0</v>
      </c>
      <c r="P23" s="117">
        <f t="shared" si="14"/>
        <v>0</v>
      </c>
      <c r="Q23" s="117">
        <f t="shared" si="14"/>
        <v>0</v>
      </c>
      <c r="R23" s="117">
        <f t="shared" si="14"/>
        <v>0</v>
      </c>
      <c r="S23" s="117">
        <f t="shared" si="14"/>
        <v>0</v>
      </c>
      <c r="T23" s="117">
        <f t="shared" si="14"/>
        <v>0</v>
      </c>
      <c r="U23" s="117">
        <f t="shared" si="14"/>
        <v>0</v>
      </c>
      <c r="V23" s="117">
        <f t="shared" si="14"/>
        <v>0</v>
      </c>
      <c r="W23" s="117">
        <f t="shared" si="14"/>
        <v>0</v>
      </c>
      <c r="X23" s="117">
        <f t="shared" si="14"/>
        <v>0</v>
      </c>
      <c r="Y23" s="117">
        <f t="shared" si="14"/>
        <v>0</v>
      </c>
      <c r="Z23" s="117">
        <f t="shared" si="14"/>
        <v>0</v>
      </c>
      <c r="AA23" s="117">
        <f t="shared" si="14"/>
        <v>0</v>
      </c>
      <c r="AB23" s="120">
        <f t="shared" si="14"/>
        <v>0</v>
      </c>
      <c r="AC23" s="121">
        <f t="shared" si="3"/>
        <v>0</v>
      </c>
    </row>
    <row r="24" spans="1:33" ht="15" hidden="1" customHeight="1" x14ac:dyDescent="0.4">
      <c r="B24" s="7"/>
      <c r="C24" s="4"/>
      <c r="D24" s="6"/>
      <c r="E24" s="5"/>
      <c r="F24" s="5"/>
      <c r="G24" s="12"/>
      <c r="H24" s="117">
        <f>+H50*$W$77</f>
        <v>0</v>
      </c>
      <c r="I24" s="118">
        <f t="shared" ref="I24:AB24" si="15">+I50*$W$77</f>
        <v>0</v>
      </c>
      <c r="J24" s="119">
        <f t="shared" si="15"/>
        <v>0</v>
      </c>
      <c r="K24" s="117">
        <f t="shared" si="15"/>
        <v>0</v>
      </c>
      <c r="L24" s="117">
        <f t="shared" si="15"/>
        <v>0</v>
      </c>
      <c r="M24" s="117">
        <f t="shared" si="15"/>
        <v>0</v>
      </c>
      <c r="N24" s="117">
        <f t="shared" si="15"/>
        <v>0</v>
      </c>
      <c r="O24" s="117">
        <f t="shared" si="15"/>
        <v>0</v>
      </c>
      <c r="P24" s="117">
        <f t="shared" si="15"/>
        <v>0</v>
      </c>
      <c r="Q24" s="117">
        <f t="shared" si="15"/>
        <v>0</v>
      </c>
      <c r="R24" s="117">
        <f t="shared" si="15"/>
        <v>0</v>
      </c>
      <c r="S24" s="117">
        <f t="shared" si="15"/>
        <v>0</v>
      </c>
      <c r="T24" s="117">
        <f t="shared" si="15"/>
        <v>0</v>
      </c>
      <c r="U24" s="117">
        <f t="shared" si="15"/>
        <v>0</v>
      </c>
      <c r="V24" s="117">
        <f t="shared" si="15"/>
        <v>0</v>
      </c>
      <c r="W24" s="117">
        <f t="shared" si="15"/>
        <v>0</v>
      </c>
      <c r="X24" s="117">
        <f t="shared" si="15"/>
        <v>0</v>
      </c>
      <c r="Y24" s="117">
        <f t="shared" si="15"/>
        <v>0</v>
      </c>
      <c r="Z24" s="117">
        <f t="shared" si="15"/>
        <v>0</v>
      </c>
      <c r="AA24" s="117">
        <f t="shared" si="15"/>
        <v>0</v>
      </c>
      <c r="AB24" s="120">
        <f t="shared" si="15"/>
        <v>0</v>
      </c>
      <c r="AC24" s="121">
        <f t="shared" si="3"/>
        <v>0</v>
      </c>
    </row>
    <row r="25" spans="1:33" ht="15" customHeight="1" thickBot="1" x14ac:dyDescent="0.45">
      <c r="B25" s="57"/>
      <c r="C25" s="25"/>
      <c r="D25" s="25"/>
      <c r="E25" s="25"/>
      <c r="F25" s="25"/>
      <c r="G25" s="25"/>
      <c r="H25" s="24"/>
      <c r="I25" s="122"/>
      <c r="J25" s="123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5"/>
      <c r="AC25" s="125"/>
    </row>
    <row r="26" spans="1:33" ht="15" customHeight="1" x14ac:dyDescent="0.6">
      <c r="B26" s="34"/>
      <c r="C26" s="34"/>
      <c r="D26" s="34"/>
      <c r="E26" s="34"/>
      <c r="F26" s="34"/>
      <c r="G26" s="34"/>
      <c r="H26" s="31"/>
      <c r="I26" s="31"/>
      <c r="J26" s="31"/>
      <c r="K26" s="32"/>
    </row>
    <row r="27" spans="1:33" ht="14.25" thickBot="1" x14ac:dyDescent="0.45">
      <c r="A27" s="9"/>
      <c r="B27" s="55"/>
      <c r="C27" s="21"/>
      <c r="D27" s="22"/>
      <c r="E27" s="20"/>
      <c r="F27" s="20"/>
      <c r="G27" s="23"/>
      <c r="H27" s="17"/>
      <c r="I27" s="17"/>
      <c r="J27" s="17"/>
      <c r="K27" s="15"/>
    </row>
    <row r="28" spans="1:33" ht="14.25" thickBot="1" x14ac:dyDescent="0.45">
      <c r="A28" s="9"/>
      <c r="H28" s="268" t="s">
        <v>91</v>
      </c>
      <c r="I28" s="294"/>
      <c r="J28" s="269" t="s">
        <v>92</v>
      </c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300"/>
    </row>
    <row r="29" spans="1:33" ht="14.25" thickBot="1" x14ac:dyDescent="0.45">
      <c r="A29" s="9"/>
      <c r="B29" s="290" t="s">
        <v>67</v>
      </c>
      <c r="C29" s="290"/>
      <c r="D29" s="290"/>
      <c r="E29" s="290"/>
      <c r="F29" s="290"/>
      <c r="G29" s="291"/>
      <c r="H29" s="52" t="s">
        <v>84</v>
      </c>
      <c r="I29" s="60"/>
      <c r="J29" s="54" t="s">
        <v>84</v>
      </c>
      <c r="K29" s="52" t="s">
        <v>85</v>
      </c>
      <c r="L29" s="52" t="s">
        <v>86</v>
      </c>
      <c r="M29" s="52" t="s">
        <v>87</v>
      </c>
      <c r="N29" s="52" t="s">
        <v>88</v>
      </c>
      <c r="O29" s="52" t="s">
        <v>89</v>
      </c>
      <c r="P29" s="52" t="s">
        <v>90</v>
      </c>
      <c r="Q29" s="52" t="s">
        <v>93</v>
      </c>
      <c r="R29" s="52" t="s">
        <v>94</v>
      </c>
      <c r="S29" s="52" t="s">
        <v>95</v>
      </c>
      <c r="T29" s="52" t="s">
        <v>96</v>
      </c>
      <c r="U29" s="52" t="s">
        <v>97</v>
      </c>
      <c r="V29" s="52" t="s">
        <v>99</v>
      </c>
      <c r="W29" s="52" t="s">
        <v>100</v>
      </c>
      <c r="X29" s="52" t="s">
        <v>101</v>
      </c>
      <c r="Y29" s="52" t="s">
        <v>102</v>
      </c>
      <c r="Z29" s="52" t="s">
        <v>103</v>
      </c>
      <c r="AA29" s="52" t="s">
        <v>104</v>
      </c>
      <c r="AB29" s="53" t="s">
        <v>105</v>
      </c>
      <c r="AC29" s="112" t="s">
        <v>120</v>
      </c>
    </row>
    <row r="30" spans="1:33" ht="13.9" x14ac:dyDescent="0.4">
      <c r="A30" s="9"/>
      <c r="B30" s="246"/>
      <c r="C30" s="247"/>
      <c r="D30" s="248"/>
      <c r="E30" s="249"/>
      <c r="F30" s="249"/>
      <c r="G30" s="250"/>
      <c r="H30" s="51">
        <v>2017</v>
      </c>
      <c r="I30" s="61"/>
      <c r="J30" s="58">
        <v>2018</v>
      </c>
      <c r="K30" s="10">
        <f t="shared" ref="K30:P30" si="16">1+J30</f>
        <v>2019</v>
      </c>
      <c r="L30" s="10">
        <f t="shared" si="16"/>
        <v>2020</v>
      </c>
      <c r="M30" s="10">
        <f t="shared" si="16"/>
        <v>2021</v>
      </c>
      <c r="N30" s="10">
        <f t="shared" si="16"/>
        <v>2022</v>
      </c>
      <c r="O30" s="10">
        <f t="shared" si="16"/>
        <v>2023</v>
      </c>
      <c r="P30" s="10">
        <f t="shared" si="16"/>
        <v>2024</v>
      </c>
      <c r="Q30" s="10">
        <f>1+P30</f>
        <v>2025</v>
      </c>
      <c r="R30" s="10">
        <f>1+Q30</f>
        <v>2026</v>
      </c>
      <c r="S30" s="10">
        <f>1+R30</f>
        <v>2027</v>
      </c>
      <c r="T30" s="10" t="s">
        <v>122</v>
      </c>
      <c r="U30" s="10" t="s">
        <v>123</v>
      </c>
      <c r="V30" s="10" t="s">
        <v>124</v>
      </c>
      <c r="W30" s="10" t="s">
        <v>125</v>
      </c>
      <c r="X30" s="10" t="s">
        <v>36</v>
      </c>
      <c r="Y30" s="10" t="s">
        <v>37</v>
      </c>
      <c r="Z30" s="10" t="s">
        <v>38</v>
      </c>
      <c r="AA30" s="10" t="s">
        <v>39</v>
      </c>
      <c r="AB30" s="108" t="s">
        <v>40</v>
      </c>
      <c r="AC30" s="113" t="s">
        <v>121</v>
      </c>
    </row>
    <row r="31" spans="1:33" ht="14.25" thickBot="1" x14ac:dyDescent="0.45">
      <c r="A31" s="9"/>
      <c r="B31" s="251"/>
      <c r="C31" s="252"/>
      <c r="D31" s="253"/>
      <c r="E31" s="254"/>
      <c r="F31" s="254"/>
      <c r="G31" s="254"/>
      <c r="H31" s="11" t="s">
        <v>72</v>
      </c>
      <c r="I31" s="62" t="s">
        <v>72</v>
      </c>
      <c r="J31" s="59" t="s">
        <v>72</v>
      </c>
      <c r="K31" s="11" t="s">
        <v>72</v>
      </c>
      <c r="L31" s="11" t="s">
        <v>72</v>
      </c>
      <c r="M31" s="11" t="s">
        <v>72</v>
      </c>
      <c r="N31" s="11" t="s">
        <v>72</v>
      </c>
      <c r="O31" s="11" t="s">
        <v>72</v>
      </c>
      <c r="P31" s="11" t="s">
        <v>72</v>
      </c>
      <c r="Q31" s="11" t="s">
        <v>72</v>
      </c>
      <c r="R31" s="11" t="s">
        <v>72</v>
      </c>
      <c r="S31" s="11" t="s">
        <v>72</v>
      </c>
      <c r="T31" s="11" t="s">
        <v>78</v>
      </c>
      <c r="U31" s="11" t="s">
        <v>78</v>
      </c>
      <c r="V31" s="11" t="s">
        <v>78</v>
      </c>
      <c r="W31" s="11" t="s">
        <v>72</v>
      </c>
      <c r="X31" s="11" t="s">
        <v>72</v>
      </c>
      <c r="Y31" s="11" t="s">
        <v>72</v>
      </c>
      <c r="Z31" s="11" t="s">
        <v>72</v>
      </c>
      <c r="AA31" s="11" t="s">
        <v>72</v>
      </c>
      <c r="AB31" s="109" t="s">
        <v>72</v>
      </c>
      <c r="AC31" s="114" t="s">
        <v>72</v>
      </c>
    </row>
    <row r="32" spans="1:33" ht="15" x14ac:dyDescent="0.4">
      <c r="A32" s="9"/>
      <c r="B32" s="2"/>
      <c r="C32" s="3"/>
      <c r="D32" s="3"/>
      <c r="E32" s="3"/>
      <c r="F32" s="3"/>
      <c r="G32" s="13"/>
      <c r="H32" s="36"/>
      <c r="I32" s="63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110"/>
      <c r="AC32" s="115"/>
      <c r="AE32" s="271" t="s">
        <v>136</v>
      </c>
      <c r="AF32" s="271"/>
      <c r="AG32" s="271"/>
    </row>
    <row r="33" spans="1:33" ht="13.9" x14ac:dyDescent="0.4">
      <c r="A33" s="9"/>
      <c r="B33" s="7">
        <v>3</v>
      </c>
      <c r="C33" s="4" t="s">
        <v>98</v>
      </c>
      <c r="D33" s="6"/>
      <c r="E33" s="5"/>
      <c r="F33" s="5"/>
      <c r="G33" s="12"/>
      <c r="H33" s="38"/>
      <c r="I33" s="64"/>
      <c r="J33" s="37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111"/>
      <c r="AC33" s="116"/>
      <c r="AE33" s="271"/>
      <c r="AF33" s="271"/>
      <c r="AG33" s="271"/>
    </row>
    <row r="34" spans="1:33" ht="13.9" x14ac:dyDescent="0.4">
      <c r="A34" s="9"/>
      <c r="B34" s="185"/>
      <c r="C34" s="186"/>
      <c r="D34" s="129" t="s">
        <v>35</v>
      </c>
      <c r="E34" s="130"/>
      <c r="F34" s="130"/>
      <c r="G34" s="131"/>
      <c r="H34" s="187">
        <v>1</v>
      </c>
      <c r="I34" s="188"/>
      <c r="J34" s="188">
        <v>1</v>
      </c>
      <c r="K34" s="187"/>
      <c r="L34" s="187">
        <v>1</v>
      </c>
      <c r="M34" s="187"/>
      <c r="N34" s="187">
        <v>1</v>
      </c>
      <c r="O34" s="187"/>
      <c r="P34" s="187">
        <v>1</v>
      </c>
      <c r="Q34" s="187"/>
      <c r="R34" s="187"/>
      <c r="S34" s="187"/>
      <c r="T34" s="187">
        <v>4</v>
      </c>
      <c r="U34" s="187">
        <v>4</v>
      </c>
      <c r="V34" s="187">
        <v>4</v>
      </c>
      <c r="W34" s="187">
        <v>4</v>
      </c>
      <c r="X34" s="187">
        <v>4</v>
      </c>
      <c r="Y34" s="187">
        <v>4</v>
      </c>
      <c r="Z34" s="187">
        <v>4</v>
      </c>
      <c r="AA34" s="187">
        <v>4</v>
      </c>
      <c r="AB34" s="187">
        <v>4</v>
      </c>
      <c r="AC34" s="189">
        <f t="shared" ref="AC34:AC50" si="17">SUM(J34:AB34)</f>
        <v>40</v>
      </c>
      <c r="AE34" s="271"/>
      <c r="AF34" s="271"/>
      <c r="AG34" s="271"/>
    </row>
    <row r="35" spans="1:33" ht="49.9" customHeight="1" x14ac:dyDescent="0.4">
      <c r="A35" s="9"/>
      <c r="B35" s="190"/>
      <c r="C35" s="191"/>
      <c r="D35" s="134" t="s">
        <v>108</v>
      </c>
      <c r="E35" s="135"/>
      <c r="F35" s="135"/>
      <c r="G35" s="137"/>
      <c r="H35" s="192"/>
      <c r="I35" s="193"/>
      <c r="J35" s="193"/>
      <c r="K35" s="192"/>
      <c r="L35" s="192"/>
      <c r="M35" s="192"/>
      <c r="N35" s="192"/>
      <c r="O35" s="192"/>
      <c r="P35" s="192"/>
      <c r="Q35" s="192"/>
      <c r="R35" s="192">
        <v>1</v>
      </c>
      <c r="S35" s="192"/>
      <c r="T35" s="192">
        <v>1</v>
      </c>
      <c r="U35" s="192">
        <v>1</v>
      </c>
      <c r="V35" s="192">
        <v>1</v>
      </c>
      <c r="W35" s="192">
        <v>1</v>
      </c>
      <c r="X35" s="192">
        <v>1</v>
      </c>
      <c r="Y35" s="192">
        <v>1</v>
      </c>
      <c r="Z35" s="192">
        <v>1</v>
      </c>
      <c r="AA35" s="192">
        <v>1</v>
      </c>
      <c r="AB35" s="192">
        <v>1</v>
      </c>
      <c r="AC35" s="196">
        <f t="shared" si="17"/>
        <v>10</v>
      </c>
      <c r="AE35" s="271" t="s">
        <v>137</v>
      </c>
      <c r="AF35" s="271"/>
      <c r="AG35" s="271"/>
    </row>
    <row r="36" spans="1:33" ht="13.9" x14ac:dyDescent="0.4">
      <c r="A36" s="9"/>
      <c r="B36" s="190"/>
      <c r="C36" s="191"/>
      <c r="D36" s="134" t="s">
        <v>1</v>
      </c>
      <c r="E36" s="135"/>
      <c r="F36" s="135"/>
      <c r="G36" s="137"/>
      <c r="H36" s="192"/>
      <c r="I36" s="193"/>
      <c r="J36" s="193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6"/>
    </row>
    <row r="37" spans="1:33" ht="13.9" x14ac:dyDescent="0.4">
      <c r="A37" s="9"/>
      <c r="B37" s="190"/>
      <c r="C37" s="191"/>
      <c r="D37" s="134"/>
      <c r="E37" s="135" t="s">
        <v>2</v>
      </c>
      <c r="F37" s="135"/>
      <c r="G37" s="137"/>
      <c r="H37" s="192">
        <v>1</v>
      </c>
      <c r="I37" s="193"/>
      <c r="J37" s="193">
        <v>1</v>
      </c>
      <c r="K37" s="192"/>
      <c r="L37" s="192">
        <v>1</v>
      </c>
      <c r="M37" s="192"/>
      <c r="N37" s="192">
        <v>1</v>
      </c>
      <c r="O37" s="192"/>
      <c r="P37" s="192">
        <v>1</v>
      </c>
      <c r="Q37" s="192"/>
      <c r="R37" s="192">
        <v>1</v>
      </c>
      <c r="S37" s="192"/>
      <c r="T37" s="192">
        <v>5</v>
      </c>
      <c r="U37" s="192">
        <v>5</v>
      </c>
      <c r="V37" s="192">
        <v>5</v>
      </c>
      <c r="W37" s="192">
        <v>5</v>
      </c>
      <c r="X37" s="192">
        <v>5</v>
      </c>
      <c r="Y37" s="192">
        <v>5</v>
      </c>
      <c r="Z37" s="192">
        <v>5</v>
      </c>
      <c r="AA37" s="192">
        <v>5</v>
      </c>
      <c r="AB37" s="192">
        <v>5</v>
      </c>
      <c r="AC37" s="196">
        <f t="shared" si="17"/>
        <v>50</v>
      </c>
      <c r="AE37" t="s">
        <v>129</v>
      </c>
    </row>
    <row r="38" spans="1:33" ht="35.65" customHeight="1" x14ac:dyDescent="0.4">
      <c r="A38" s="9"/>
      <c r="B38" s="190"/>
      <c r="C38" s="191"/>
      <c r="D38" s="134"/>
      <c r="E38" s="135" t="s">
        <v>128</v>
      </c>
      <c r="F38" s="135"/>
      <c r="G38" s="137"/>
      <c r="H38" s="192">
        <v>1</v>
      </c>
      <c r="I38" s="193"/>
      <c r="J38" s="193">
        <v>1</v>
      </c>
      <c r="K38" s="192"/>
      <c r="L38" s="192">
        <v>1</v>
      </c>
      <c r="M38" s="192"/>
      <c r="N38" s="192">
        <v>1</v>
      </c>
      <c r="O38" s="192"/>
      <c r="P38" s="192">
        <v>1</v>
      </c>
      <c r="Q38" s="192"/>
      <c r="R38" s="192">
        <v>1</v>
      </c>
      <c r="S38" s="192"/>
      <c r="T38" s="192">
        <v>5</v>
      </c>
      <c r="U38" s="192">
        <v>5</v>
      </c>
      <c r="V38" s="192">
        <v>5</v>
      </c>
      <c r="W38" s="192">
        <v>5</v>
      </c>
      <c r="X38" s="192">
        <v>5</v>
      </c>
      <c r="Y38" s="192">
        <v>5</v>
      </c>
      <c r="Z38" s="192">
        <v>5</v>
      </c>
      <c r="AA38" s="192">
        <v>5</v>
      </c>
      <c r="AB38" s="192">
        <v>5</v>
      </c>
      <c r="AC38" s="196">
        <f t="shared" si="17"/>
        <v>50</v>
      </c>
      <c r="AE38" s="271" t="s">
        <v>135</v>
      </c>
      <c r="AF38" s="271"/>
      <c r="AG38" s="271"/>
    </row>
    <row r="39" spans="1:33" ht="57.4" customHeight="1" x14ac:dyDescent="0.35">
      <c r="A39" s="9"/>
      <c r="B39" s="272" t="s">
        <v>3</v>
      </c>
      <c r="C39" s="273"/>
      <c r="D39" s="273"/>
      <c r="E39" s="273"/>
      <c r="F39" s="273"/>
      <c r="G39" s="274"/>
      <c r="H39" s="192"/>
      <c r="I39" s="193"/>
      <c r="J39" s="193">
        <v>1</v>
      </c>
      <c r="K39" s="192"/>
      <c r="L39" s="192"/>
      <c r="M39" s="192"/>
      <c r="N39" s="192">
        <v>1</v>
      </c>
      <c r="O39" s="192"/>
      <c r="P39" s="192"/>
      <c r="Q39" s="192"/>
      <c r="R39" s="192">
        <v>1</v>
      </c>
      <c r="S39" s="192"/>
      <c r="T39" s="192">
        <v>3</v>
      </c>
      <c r="U39" s="192">
        <v>2</v>
      </c>
      <c r="V39" s="192">
        <v>3</v>
      </c>
      <c r="W39" s="192">
        <v>2</v>
      </c>
      <c r="X39" s="192">
        <v>3</v>
      </c>
      <c r="Y39" s="192">
        <v>2</v>
      </c>
      <c r="Z39" s="192">
        <v>3</v>
      </c>
      <c r="AA39" s="192">
        <v>2</v>
      </c>
      <c r="AB39" s="195">
        <v>3</v>
      </c>
      <c r="AC39" s="196">
        <f t="shared" si="17"/>
        <v>26</v>
      </c>
      <c r="AE39" s="271" t="s">
        <v>145</v>
      </c>
      <c r="AF39" s="271"/>
      <c r="AG39" s="271"/>
    </row>
    <row r="40" spans="1:33" ht="13.9" hidden="1" x14ac:dyDescent="0.4">
      <c r="A40" s="9"/>
      <c r="B40" s="190"/>
      <c r="C40" s="191"/>
      <c r="D40" s="134"/>
      <c r="E40" s="197"/>
      <c r="F40" s="135"/>
      <c r="G40" s="137"/>
      <c r="H40" s="192"/>
      <c r="I40" s="193"/>
      <c r="J40" s="194">
        <v>0</v>
      </c>
      <c r="K40" s="192"/>
      <c r="L40" s="192">
        <v>0</v>
      </c>
      <c r="M40" s="192"/>
      <c r="N40" s="192">
        <v>0</v>
      </c>
      <c r="O40" s="192"/>
      <c r="P40" s="192">
        <v>0</v>
      </c>
      <c r="Q40" s="192"/>
      <c r="R40" s="192">
        <v>0</v>
      </c>
      <c r="S40" s="192"/>
      <c r="T40" s="192">
        <v>0</v>
      </c>
      <c r="U40" s="192">
        <v>0</v>
      </c>
      <c r="V40" s="192">
        <v>0</v>
      </c>
      <c r="W40" s="192">
        <v>0</v>
      </c>
      <c r="X40" s="192"/>
      <c r="Y40" s="192"/>
      <c r="Z40" s="192"/>
      <c r="AA40" s="192"/>
      <c r="AB40" s="195"/>
      <c r="AC40" s="196">
        <f t="shared" si="17"/>
        <v>0</v>
      </c>
    </row>
    <row r="41" spans="1:33" ht="13.9" hidden="1" x14ac:dyDescent="0.4">
      <c r="A41" s="9"/>
      <c r="B41" s="190"/>
      <c r="C41" s="191"/>
      <c r="D41" s="134"/>
      <c r="E41" s="135"/>
      <c r="F41" s="135"/>
      <c r="G41" s="137"/>
      <c r="H41" s="192"/>
      <c r="I41" s="193"/>
      <c r="J41" s="194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5"/>
      <c r="AC41" s="196"/>
    </row>
    <row r="42" spans="1:33" ht="13.9" hidden="1" x14ac:dyDescent="0.4">
      <c r="A42" s="9"/>
      <c r="B42" s="190"/>
      <c r="C42" s="191"/>
      <c r="D42" s="134"/>
      <c r="E42" s="197"/>
      <c r="F42" s="135"/>
      <c r="G42" s="137"/>
      <c r="H42" s="192"/>
      <c r="I42" s="193"/>
      <c r="J42" s="194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5"/>
      <c r="AC42" s="196">
        <f t="shared" si="17"/>
        <v>0</v>
      </c>
    </row>
    <row r="43" spans="1:33" ht="13.9" hidden="1" x14ac:dyDescent="0.4">
      <c r="A43" s="9"/>
      <c r="B43" s="190"/>
      <c r="C43" s="191"/>
      <c r="D43" s="134"/>
      <c r="E43" s="197"/>
      <c r="F43" s="135"/>
      <c r="G43" s="137"/>
      <c r="H43" s="192"/>
      <c r="I43" s="193"/>
      <c r="J43" s="194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5"/>
      <c r="AC43" s="196">
        <f t="shared" si="17"/>
        <v>0</v>
      </c>
    </row>
    <row r="44" spans="1:33" ht="13.9" hidden="1" x14ac:dyDescent="0.4">
      <c r="A44" s="9"/>
      <c r="B44" s="190"/>
      <c r="C44" s="191"/>
      <c r="D44" s="134"/>
      <c r="E44" s="135"/>
      <c r="F44" s="135"/>
      <c r="G44" s="137"/>
      <c r="H44" s="192">
        <v>0</v>
      </c>
      <c r="I44" s="193">
        <v>0</v>
      </c>
      <c r="J44" s="194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5"/>
      <c r="AC44" s="196">
        <f t="shared" si="17"/>
        <v>0</v>
      </c>
    </row>
    <row r="45" spans="1:33" ht="13.9" hidden="1" x14ac:dyDescent="0.4">
      <c r="A45" s="9"/>
      <c r="B45" s="190"/>
      <c r="C45" s="191"/>
      <c r="D45" s="134"/>
      <c r="E45" s="135"/>
      <c r="F45" s="135"/>
      <c r="G45" s="137"/>
      <c r="H45" s="192"/>
      <c r="I45" s="193"/>
      <c r="J45" s="194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5"/>
      <c r="AC45" s="196"/>
    </row>
    <row r="46" spans="1:33" ht="13.9" hidden="1" x14ac:dyDescent="0.4">
      <c r="A46" s="9"/>
      <c r="B46" s="190"/>
      <c r="C46" s="191"/>
      <c r="D46" s="134"/>
      <c r="E46" s="135"/>
      <c r="F46" s="135"/>
      <c r="G46" s="137"/>
      <c r="H46" s="192"/>
      <c r="I46" s="193"/>
      <c r="J46" s="194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5"/>
      <c r="AC46" s="196">
        <f t="shared" si="17"/>
        <v>0</v>
      </c>
    </row>
    <row r="47" spans="1:33" ht="13.9" hidden="1" x14ac:dyDescent="0.4">
      <c r="A47" s="9"/>
      <c r="B47" s="190"/>
      <c r="C47" s="191"/>
      <c r="D47" s="134"/>
      <c r="E47" s="135"/>
      <c r="F47" s="135"/>
      <c r="G47" s="137"/>
      <c r="H47" s="192"/>
      <c r="I47" s="193"/>
      <c r="J47" s="194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5"/>
      <c r="AC47" s="196">
        <f t="shared" si="17"/>
        <v>0</v>
      </c>
    </row>
    <row r="48" spans="1:33" ht="13.9" hidden="1" x14ac:dyDescent="0.4">
      <c r="A48" s="9"/>
      <c r="B48" s="190"/>
      <c r="C48" s="191"/>
      <c r="D48" s="134"/>
      <c r="E48" s="135"/>
      <c r="F48" s="135"/>
      <c r="G48" s="137"/>
      <c r="H48" s="192"/>
      <c r="I48" s="193"/>
      <c r="J48" s="194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5"/>
      <c r="AC48" s="196">
        <f t="shared" si="17"/>
        <v>0</v>
      </c>
    </row>
    <row r="49" spans="1:29" ht="13.9" hidden="1" x14ac:dyDescent="0.4">
      <c r="A49" s="9"/>
      <c r="B49" s="190"/>
      <c r="C49" s="191"/>
      <c r="D49" s="134"/>
      <c r="E49" s="197"/>
      <c r="F49" s="135"/>
      <c r="G49" s="137"/>
      <c r="H49" s="192"/>
      <c r="I49" s="193"/>
      <c r="J49" s="194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5"/>
      <c r="AC49" s="196">
        <f t="shared" si="17"/>
        <v>0</v>
      </c>
    </row>
    <row r="50" spans="1:29" ht="13.9" hidden="1" x14ac:dyDescent="0.4">
      <c r="A50" s="9"/>
      <c r="B50" s="190"/>
      <c r="C50" s="191"/>
      <c r="D50" s="134"/>
      <c r="E50" s="197"/>
      <c r="F50" s="135"/>
      <c r="G50" s="137"/>
      <c r="H50" s="192"/>
      <c r="I50" s="193"/>
      <c r="J50" s="194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5"/>
      <c r="AC50" s="196">
        <f t="shared" si="17"/>
        <v>0</v>
      </c>
    </row>
    <row r="51" spans="1:29" ht="13.5" thickBot="1" x14ac:dyDescent="0.45">
      <c r="A51" s="56"/>
      <c r="B51" s="198"/>
      <c r="C51" s="199"/>
      <c r="D51" s="199"/>
      <c r="E51" s="199"/>
      <c r="F51" s="199"/>
      <c r="G51" s="199"/>
      <c r="H51" s="200"/>
      <c r="I51" s="201"/>
      <c r="J51" s="202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3"/>
      <c r="AC51" s="204"/>
    </row>
    <row r="52" spans="1:29" ht="13.9" x14ac:dyDescent="0.4">
      <c r="A52" s="9"/>
      <c r="B52" s="1"/>
      <c r="C52" s="4"/>
      <c r="J52" s="5"/>
    </row>
    <row r="53" spans="1:29" ht="13.5" thickBot="1" x14ac:dyDescent="0.45">
      <c r="B53" s="9"/>
      <c r="H53" s="1"/>
      <c r="I53" s="1"/>
      <c r="J53" s="1"/>
      <c r="K53" s="1"/>
    </row>
    <row r="54" spans="1:29" ht="13.15" x14ac:dyDescent="0.4">
      <c r="B54" s="66" t="s">
        <v>68</v>
      </c>
      <c r="C54" s="67"/>
      <c r="H54" s="301" t="s">
        <v>109</v>
      </c>
      <c r="I54" s="302"/>
      <c r="J54" s="301" t="s">
        <v>112</v>
      </c>
      <c r="K54" s="302"/>
      <c r="L54" s="79" t="s">
        <v>16</v>
      </c>
      <c r="M54" s="89" t="s">
        <v>54</v>
      </c>
      <c r="N54" s="91" t="s">
        <v>18</v>
      </c>
      <c r="O54" s="90" t="s">
        <v>56</v>
      </c>
      <c r="P54" s="91" t="s">
        <v>18</v>
      </c>
      <c r="Q54" s="92" t="s">
        <v>57</v>
      </c>
      <c r="R54" s="90" t="s">
        <v>20</v>
      </c>
      <c r="S54" s="91" t="s">
        <v>21</v>
      </c>
      <c r="T54" s="89" t="s">
        <v>23</v>
      </c>
      <c r="U54" s="91" t="s">
        <v>24</v>
      </c>
      <c r="V54" s="79" t="s">
        <v>26</v>
      </c>
      <c r="W54" s="301" t="s">
        <v>34</v>
      </c>
      <c r="X54" s="302"/>
    </row>
    <row r="55" spans="1:29" ht="13.5" thickBot="1" x14ac:dyDescent="0.45">
      <c r="B55" s="292"/>
      <c r="C55" s="292"/>
      <c r="D55" s="292"/>
      <c r="E55" s="292"/>
      <c r="F55" s="292"/>
      <c r="G55" s="293"/>
      <c r="H55" s="71" t="s">
        <v>110</v>
      </c>
      <c r="I55" s="42" t="s">
        <v>111</v>
      </c>
      <c r="J55" s="41" t="s">
        <v>113</v>
      </c>
      <c r="K55" s="42" t="s">
        <v>15</v>
      </c>
      <c r="L55" s="80" t="s">
        <v>17</v>
      </c>
      <c r="M55" s="97" t="s">
        <v>55</v>
      </c>
      <c r="N55" s="99" t="s">
        <v>19</v>
      </c>
      <c r="O55" s="98" t="s">
        <v>55</v>
      </c>
      <c r="P55" s="99" t="s">
        <v>19</v>
      </c>
      <c r="Q55" s="100" t="s">
        <v>58</v>
      </c>
      <c r="R55" s="98" t="s">
        <v>19</v>
      </c>
      <c r="S55" s="99" t="s">
        <v>19</v>
      </c>
      <c r="T55" s="97" t="s">
        <v>22</v>
      </c>
      <c r="U55" s="99" t="s">
        <v>25</v>
      </c>
      <c r="V55" s="80" t="s">
        <v>27</v>
      </c>
      <c r="W55" s="97" t="s">
        <v>70</v>
      </c>
      <c r="X55" s="42" t="s">
        <v>69</v>
      </c>
    </row>
    <row r="56" spans="1:29" ht="13.9" x14ac:dyDescent="0.4">
      <c r="B56" s="297" t="s">
        <v>62</v>
      </c>
      <c r="C56" s="298"/>
      <c r="D56" s="298"/>
      <c r="E56" s="298"/>
      <c r="F56" s="298"/>
      <c r="G56" s="299"/>
      <c r="H56" s="43"/>
      <c r="I56" s="72"/>
      <c r="J56" s="43"/>
      <c r="K56" s="72"/>
      <c r="L56" s="81"/>
      <c r="M56" s="93"/>
      <c r="N56" s="95"/>
      <c r="O56" s="94"/>
      <c r="P56" s="95"/>
      <c r="Q56" s="96"/>
      <c r="R56" s="94"/>
      <c r="S56" s="95"/>
      <c r="T56" s="43"/>
      <c r="U56" s="72"/>
      <c r="V56" s="81"/>
      <c r="W56" s="43"/>
      <c r="X56" s="104"/>
    </row>
    <row r="57" spans="1:29" ht="13.9" x14ac:dyDescent="0.4">
      <c r="B57" s="287" t="s">
        <v>63</v>
      </c>
      <c r="C57" s="288"/>
      <c r="D57" s="288"/>
      <c r="E57" s="288"/>
      <c r="F57" s="288"/>
      <c r="G57" s="289"/>
      <c r="H57" s="44">
        <v>0.5</v>
      </c>
      <c r="I57" s="73">
        <f>N57</f>
        <v>2220</v>
      </c>
      <c r="J57" s="44">
        <v>1</v>
      </c>
      <c r="K57" s="73">
        <v>1600</v>
      </c>
      <c r="L57" s="82">
        <v>1</v>
      </c>
      <c r="M57" s="44">
        <v>1</v>
      </c>
      <c r="N57" s="73">
        <f>12*185</f>
        <v>2220</v>
      </c>
      <c r="O57" s="46">
        <v>0</v>
      </c>
      <c r="P57" s="73">
        <v>960</v>
      </c>
      <c r="Q57" s="86">
        <v>0</v>
      </c>
      <c r="R57" s="45">
        <f>230*(M57+O57)</f>
        <v>230</v>
      </c>
      <c r="S57" s="73">
        <f>150*(O57+M57)</f>
        <v>150</v>
      </c>
      <c r="T57" s="44">
        <v>0</v>
      </c>
      <c r="U57" s="77">
        <v>0</v>
      </c>
      <c r="V57" s="102">
        <v>6400</v>
      </c>
      <c r="W57" s="107">
        <f>+(H57*I57)+(J57*K57)+L57*(M57*N57+O57*P57+Q57+R57+S57)+(T57*U57)+V57</f>
        <v>11710</v>
      </c>
      <c r="X57" s="105"/>
      <c r="Y57" s="216"/>
    </row>
    <row r="58" spans="1:29" ht="13.9" x14ac:dyDescent="0.4">
      <c r="B58" s="287" t="s">
        <v>64</v>
      </c>
      <c r="C58" s="288"/>
      <c r="D58" s="288"/>
      <c r="E58" s="288"/>
      <c r="F58" s="288"/>
      <c r="G58" s="289"/>
      <c r="H58" s="44">
        <v>5</v>
      </c>
      <c r="I58" s="73">
        <f>N58</f>
        <v>1920</v>
      </c>
      <c r="J58" s="44">
        <v>2</v>
      </c>
      <c r="K58" s="73">
        <v>1600</v>
      </c>
      <c r="L58" s="82">
        <v>1</v>
      </c>
      <c r="M58" s="44">
        <v>1</v>
      </c>
      <c r="N58" s="73">
        <f>12*160</f>
        <v>1920</v>
      </c>
      <c r="O58" s="46">
        <v>1</v>
      </c>
      <c r="P58" s="73">
        <v>960</v>
      </c>
      <c r="Q58" s="86">
        <v>500</v>
      </c>
      <c r="R58" s="45">
        <f>230*(M58+O58)</f>
        <v>460</v>
      </c>
      <c r="S58" s="73">
        <f>150*(O58+M58)</f>
        <v>300</v>
      </c>
      <c r="T58" s="44">
        <v>0</v>
      </c>
      <c r="U58" s="77">
        <v>0</v>
      </c>
      <c r="V58" s="102">
        <v>29000</v>
      </c>
      <c r="W58" s="107">
        <f>+(H58*I58)+(J58*K58)+L58*(M58*N58+O58*P58+Q58+R58+S58)+(T58*U58)+V58</f>
        <v>45940</v>
      </c>
      <c r="X58" s="105"/>
      <c r="Y58" s="216"/>
    </row>
    <row r="59" spans="1:29" ht="14.25" customHeight="1" x14ac:dyDescent="0.4">
      <c r="B59" s="278" t="s">
        <v>65</v>
      </c>
      <c r="C59" s="279"/>
      <c r="D59" s="279"/>
      <c r="E59" s="279"/>
      <c r="F59" s="279"/>
      <c r="G59" s="280"/>
      <c r="H59" s="44"/>
      <c r="I59" s="73"/>
      <c r="J59" s="44"/>
      <c r="K59" s="73"/>
      <c r="L59" s="82"/>
      <c r="M59" s="44"/>
      <c r="N59" s="73"/>
      <c r="O59" s="46"/>
      <c r="P59" s="73"/>
      <c r="Q59" s="86"/>
      <c r="R59" s="45"/>
      <c r="S59" s="73"/>
      <c r="T59" s="44"/>
      <c r="U59" s="77"/>
      <c r="V59" s="82"/>
      <c r="W59" s="107"/>
      <c r="X59" s="106">
        <f>SUM(W57:W58)</f>
        <v>57650</v>
      </c>
    </row>
    <row r="60" spans="1:29" ht="13.9" x14ac:dyDescent="0.4">
      <c r="B60" s="281" t="s">
        <v>33</v>
      </c>
      <c r="C60" s="282"/>
      <c r="D60" s="282"/>
      <c r="E60" s="282"/>
      <c r="F60" s="282"/>
      <c r="G60" s="283"/>
      <c r="H60" s="44"/>
      <c r="I60" s="73"/>
      <c r="J60" s="44"/>
      <c r="K60" s="73"/>
      <c r="L60" s="82"/>
      <c r="M60" s="84"/>
      <c r="N60" s="73"/>
      <c r="O60" s="47"/>
      <c r="P60" s="73"/>
      <c r="Q60" s="87"/>
      <c r="R60" s="45"/>
      <c r="S60" s="73"/>
      <c r="T60" s="44"/>
      <c r="U60" s="73"/>
      <c r="V60" s="102"/>
      <c r="W60" s="107"/>
      <c r="X60" s="105"/>
    </row>
    <row r="61" spans="1:29" ht="15" customHeight="1" x14ac:dyDescent="0.4">
      <c r="B61" s="287" t="s">
        <v>148</v>
      </c>
      <c r="C61" s="288"/>
      <c r="D61" s="288"/>
      <c r="E61" s="288"/>
      <c r="F61" s="288"/>
      <c r="G61" s="289"/>
      <c r="H61" s="44">
        <v>1</v>
      </c>
      <c r="I61" s="73">
        <f>N61</f>
        <v>2160</v>
      </c>
      <c r="J61" s="44">
        <v>1</v>
      </c>
      <c r="K61" s="73">
        <v>1600</v>
      </c>
      <c r="L61" s="82">
        <v>1</v>
      </c>
      <c r="M61" s="44">
        <v>1</v>
      </c>
      <c r="N61" s="73">
        <f>12*180</f>
        <v>2160</v>
      </c>
      <c r="O61" s="46">
        <v>1</v>
      </c>
      <c r="P61" s="73">
        <f>12*80</f>
        <v>960</v>
      </c>
      <c r="Q61" s="86">
        <v>500</v>
      </c>
      <c r="R61" s="45">
        <v>350</v>
      </c>
      <c r="S61" s="73">
        <f>150*(O61+M61)</f>
        <v>300</v>
      </c>
      <c r="T61" s="44">
        <v>6</v>
      </c>
      <c r="U61" s="73">
        <f>ROUND(380*1.333,-1)</f>
        <v>510</v>
      </c>
      <c r="V61" s="102">
        <v>5000</v>
      </c>
      <c r="W61" s="107">
        <f>+(H61*I61)+(J61*K61)+L61*(M61*N61+O61*P61+Q61+R61+S61)+(T61*U61)+V61</f>
        <v>16090</v>
      </c>
      <c r="X61" s="106"/>
    </row>
    <row r="62" spans="1:29" ht="15" customHeight="1" x14ac:dyDescent="0.4">
      <c r="B62" s="68" t="s">
        <v>127</v>
      </c>
      <c r="C62" s="161"/>
      <c r="D62" s="161"/>
      <c r="E62" s="161"/>
      <c r="F62" s="161"/>
      <c r="G62" s="162"/>
      <c r="H62" s="44">
        <v>0.5</v>
      </c>
      <c r="I62" s="73">
        <v>1500</v>
      </c>
      <c r="J62" s="44">
        <v>1</v>
      </c>
      <c r="K62" s="73">
        <v>10000</v>
      </c>
      <c r="L62" s="82">
        <v>1</v>
      </c>
      <c r="M62" s="44"/>
      <c r="N62" s="73"/>
      <c r="O62" s="46"/>
      <c r="P62" s="73"/>
      <c r="Q62" s="86">
        <v>0</v>
      </c>
      <c r="R62" s="45"/>
      <c r="S62" s="73"/>
      <c r="T62" s="44">
        <v>0</v>
      </c>
      <c r="U62" s="73"/>
      <c r="V62" s="102"/>
      <c r="W62" s="107">
        <f>+(H62*I62)+(J62*K62)+L62*(P62+Q62+R62+S62)+(T62*U62)+V62</f>
        <v>10750</v>
      </c>
      <c r="X62" s="106"/>
    </row>
    <row r="63" spans="1:29" ht="13.9" x14ac:dyDescent="0.4">
      <c r="B63" s="211" t="s">
        <v>4</v>
      </c>
      <c r="C63" s="161"/>
      <c r="D63" s="69"/>
      <c r="E63" s="69"/>
      <c r="F63" s="69"/>
      <c r="G63" s="70"/>
      <c r="H63" s="44">
        <v>2</v>
      </c>
      <c r="I63" s="73">
        <f>N63</f>
        <v>1920</v>
      </c>
      <c r="J63" s="44">
        <v>1</v>
      </c>
      <c r="K63" s="73">
        <v>1600</v>
      </c>
      <c r="L63" s="82">
        <v>1</v>
      </c>
      <c r="M63" s="44">
        <v>1</v>
      </c>
      <c r="N63" s="73">
        <f>12*160</f>
        <v>1920</v>
      </c>
      <c r="O63" s="46">
        <v>0</v>
      </c>
      <c r="P63" s="73">
        <f>12*80</f>
        <v>960</v>
      </c>
      <c r="Q63" s="86">
        <v>250</v>
      </c>
      <c r="R63" s="45">
        <v>350</v>
      </c>
      <c r="S63" s="73">
        <f>150*(O63+M63)</f>
        <v>150</v>
      </c>
      <c r="T63" s="44">
        <v>3</v>
      </c>
      <c r="U63" s="73">
        <f>200+350*5</f>
        <v>1950</v>
      </c>
      <c r="V63" s="102">
        <v>6000</v>
      </c>
      <c r="W63" s="107">
        <f>+(H63*I63)+(J63*K63)+L63*(M63*N63+O63*P63+Q63+R63+S63)+(T63*U63)+V63</f>
        <v>19960</v>
      </c>
      <c r="X63" s="106"/>
    </row>
    <row r="64" spans="1:29" ht="13.9" x14ac:dyDescent="0.4">
      <c r="B64" s="68"/>
      <c r="C64" s="161"/>
      <c r="D64" s="69"/>
      <c r="E64" s="69"/>
      <c r="F64" s="69"/>
      <c r="G64" s="70"/>
      <c r="H64" s="44"/>
      <c r="I64" s="73"/>
      <c r="J64" s="44"/>
      <c r="K64" s="73"/>
      <c r="L64" s="82"/>
      <c r="M64" s="44"/>
      <c r="N64" s="73"/>
      <c r="O64" s="46"/>
      <c r="P64" s="73"/>
      <c r="Q64" s="86"/>
      <c r="R64" s="45"/>
      <c r="S64" s="73"/>
      <c r="T64" s="44"/>
      <c r="U64" s="73"/>
      <c r="V64" s="102"/>
      <c r="W64" s="107"/>
      <c r="X64" s="106"/>
    </row>
    <row r="65" spans="2:24" ht="14.25" customHeight="1" x14ac:dyDescent="0.4">
      <c r="B65" s="278" t="s">
        <v>65</v>
      </c>
      <c r="C65" s="279"/>
      <c r="D65" s="279"/>
      <c r="E65" s="279"/>
      <c r="F65" s="279"/>
      <c r="G65" s="280"/>
      <c r="H65" s="44"/>
      <c r="I65" s="73"/>
      <c r="J65" s="44"/>
      <c r="K65" s="73"/>
      <c r="L65" s="82"/>
      <c r="M65" s="44"/>
      <c r="N65" s="73"/>
      <c r="O65" s="46"/>
      <c r="P65" s="73"/>
      <c r="Q65" s="86"/>
      <c r="R65" s="45"/>
      <c r="S65" s="73"/>
      <c r="T65" s="44"/>
      <c r="U65" s="73"/>
      <c r="V65" s="102"/>
      <c r="W65" s="107"/>
      <c r="X65" s="106">
        <f>SUM(W61:W64)</f>
        <v>46800</v>
      </c>
    </row>
    <row r="66" spans="2:24" ht="13.9" hidden="1" x14ac:dyDescent="0.4">
      <c r="B66" s="281" t="s">
        <v>107</v>
      </c>
      <c r="C66" s="282"/>
      <c r="D66" s="282"/>
      <c r="E66" s="282"/>
      <c r="F66" s="282"/>
      <c r="G66" s="283"/>
      <c r="H66" s="44"/>
      <c r="I66" s="73"/>
      <c r="J66" s="44"/>
      <c r="K66" s="73"/>
      <c r="L66" s="82"/>
      <c r="M66" s="44"/>
      <c r="N66" s="73"/>
      <c r="O66" s="46"/>
      <c r="P66" s="73"/>
      <c r="Q66" s="86"/>
      <c r="R66" s="45"/>
      <c r="S66" s="73"/>
      <c r="T66" s="44"/>
      <c r="U66" s="73"/>
      <c r="V66" s="102"/>
      <c r="W66" s="107"/>
      <c r="X66" s="105"/>
    </row>
    <row r="67" spans="2:24" ht="13.9" hidden="1" x14ac:dyDescent="0.4">
      <c r="B67" s="160"/>
      <c r="C67" s="161" t="s">
        <v>6</v>
      </c>
      <c r="D67" s="69"/>
      <c r="E67" s="69"/>
      <c r="F67" s="69"/>
      <c r="G67" s="70"/>
      <c r="H67" s="44">
        <v>2</v>
      </c>
      <c r="I67" s="73">
        <v>1500</v>
      </c>
      <c r="J67" s="44">
        <v>0</v>
      </c>
      <c r="K67" s="73"/>
      <c r="L67" s="82">
        <v>1</v>
      </c>
      <c r="M67" s="44">
        <v>1</v>
      </c>
      <c r="N67" s="73">
        <v>2500</v>
      </c>
      <c r="O67" s="46">
        <v>1</v>
      </c>
      <c r="P67" s="73">
        <v>2500</v>
      </c>
      <c r="Q67" s="86">
        <v>1500</v>
      </c>
      <c r="R67" s="45">
        <v>200</v>
      </c>
      <c r="S67" s="73">
        <v>150</v>
      </c>
      <c r="T67" s="44">
        <v>8</v>
      </c>
      <c r="U67" s="73">
        <v>500</v>
      </c>
      <c r="V67" s="102">
        <v>10000</v>
      </c>
      <c r="W67" s="107">
        <f>+(H67*I67)+(J67*K67)+L67*(P67+Q67+R67+S67)+(T67*U67)+V67</f>
        <v>21350</v>
      </c>
      <c r="X67" s="105"/>
    </row>
    <row r="68" spans="2:24" ht="13.9" hidden="1" x14ac:dyDescent="0.4">
      <c r="B68" s="160"/>
      <c r="C68" s="161" t="s">
        <v>5</v>
      </c>
      <c r="D68" s="69"/>
      <c r="E68" s="69"/>
      <c r="F68" s="69"/>
      <c r="G68" s="70"/>
      <c r="H68" s="44">
        <v>1</v>
      </c>
      <c r="I68" s="73">
        <v>1500</v>
      </c>
      <c r="J68" s="44">
        <v>0</v>
      </c>
      <c r="K68" s="73"/>
      <c r="L68" s="82">
        <v>1</v>
      </c>
      <c r="M68" s="44">
        <v>1</v>
      </c>
      <c r="N68" s="73">
        <v>2500</v>
      </c>
      <c r="O68" s="46">
        <v>1</v>
      </c>
      <c r="P68" s="73">
        <v>2500</v>
      </c>
      <c r="Q68" s="86">
        <v>1000</v>
      </c>
      <c r="R68" s="45"/>
      <c r="S68" s="73">
        <v>150</v>
      </c>
      <c r="T68" s="44">
        <v>8</v>
      </c>
      <c r="U68" s="73">
        <v>100</v>
      </c>
      <c r="V68" s="102">
        <v>2500</v>
      </c>
      <c r="W68" s="107">
        <f>+(H68*I68)+(J68*K68)+L68*(P68+Q68+R68+S68)+(T68*U68)+V68</f>
        <v>8450</v>
      </c>
      <c r="X68" s="105"/>
    </row>
    <row r="69" spans="2:24" ht="14.25" hidden="1" customHeight="1" x14ac:dyDescent="0.4">
      <c r="B69" s="278" t="s">
        <v>65</v>
      </c>
      <c r="C69" s="279"/>
      <c r="D69" s="279"/>
      <c r="E69" s="279"/>
      <c r="F69" s="279"/>
      <c r="G69" s="280"/>
      <c r="H69" s="44"/>
      <c r="I69" s="73"/>
      <c r="J69" s="44"/>
      <c r="K69" s="73"/>
      <c r="L69" s="82"/>
      <c r="M69" s="44"/>
      <c r="N69" s="73"/>
      <c r="O69" s="46"/>
      <c r="P69" s="73"/>
      <c r="Q69" s="86"/>
      <c r="R69" s="45"/>
      <c r="S69" s="73"/>
      <c r="T69" s="44"/>
      <c r="U69" s="73"/>
      <c r="V69" s="102"/>
      <c r="W69" s="107"/>
      <c r="X69" s="106">
        <f>SUM(W67:W68)</f>
        <v>29800</v>
      </c>
    </row>
    <row r="70" spans="2:24" ht="13.9" hidden="1" x14ac:dyDescent="0.4">
      <c r="B70" s="281" t="s">
        <v>82</v>
      </c>
      <c r="C70" s="282"/>
      <c r="D70" s="282"/>
      <c r="E70" s="282"/>
      <c r="F70" s="282"/>
      <c r="G70" s="283"/>
      <c r="H70" s="44">
        <v>2</v>
      </c>
      <c r="I70" s="73">
        <v>1000</v>
      </c>
      <c r="J70" s="44">
        <v>1</v>
      </c>
      <c r="K70" s="73">
        <v>900</v>
      </c>
      <c r="L70" s="82">
        <v>3</v>
      </c>
      <c r="M70" s="44">
        <v>1</v>
      </c>
      <c r="N70" s="73">
        <f>+K70*1500+M70*500</f>
        <v>1350500</v>
      </c>
      <c r="O70" s="46">
        <v>1</v>
      </c>
      <c r="P70" s="73">
        <f>+M70*1500+O70*500</f>
        <v>2000</v>
      </c>
      <c r="Q70" s="86">
        <v>100</v>
      </c>
      <c r="R70" s="45">
        <v>200</v>
      </c>
      <c r="S70" s="73">
        <v>150</v>
      </c>
      <c r="T70" s="44">
        <v>0</v>
      </c>
      <c r="U70" s="73">
        <v>0</v>
      </c>
      <c r="V70" s="102">
        <v>4000</v>
      </c>
      <c r="W70" s="107">
        <f>+(H70*I70)+(J70*K70)+L70*(P70+Q70+R70+S70)+(T70*U70)+V70</f>
        <v>14250</v>
      </c>
      <c r="X70" s="105"/>
    </row>
    <row r="71" spans="2:24" ht="14.25" hidden="1" customHeight="1" x14ac:dyDescent="0.4">
      <c r="B71" s="278" t="s">
        <v>65</v>
      </c>
      <c r="C71" s="279"/>
      <c r="D71" s="279"/>
      <c r="E71" s="279"/>
      <c r="F71" s="279"/>
      <c r="G71" s="280"/>
      <c r="H71" s="44"/>
      <c r="I71" s="73"/>
      <c r="J71" s="44"/>
      <c r="K71" s="73"/>
      <c r="L71" s="82"/>
      <c r="M71" s="44"/>
      <c r="N71" s="73"/>
      <c r="O71" s="46"/>
      <c r="P71" s="73"/>
      <c r="Q71" s="86"/>
      <c r="R71" s="45"/>
      <c r="S71" s="73"/>
      <c r="T71" s="44"/>
      <c r="U71" s="73"/>
      <c r="V71" s="102"/>
      <c r="W71" s="107"/>
      <c r="X71" s="106">
        <f>SUM(W70)</f>
        <v>14250</v>
      </c>
    </row>
    <row r="72" spans="2:24" ht="13.9" hidden="1" x14ac:dyDescent="0.4">
      <c r="B72" s="281" t="s">
        <v>32</v>
      </c>
      <c r="C72" s="282"/>
      <c r="D72" s="282"/>
      <c r="E72" s="282"/>
      <c r="F72" s="282"/>
      <c r="G72" s="283"/>
      <c r="H72" s="44"/>
      <c r="I72" s="73"/>
      <c r="J72" s="44"/>
      <c r="K72" s="73"/>
      <c r="L72" s="82"/>
      <c r="M72" s="84"/>
      <c r="N72" s="73"/>
      <c r="O72" s="47"/>
      <c r="P72" s="73"/>
      <c r="Q72" s="87"/>
      <c r="R72" s="45"/>
      <c r="S72" s="73"/>
      <c r="T72" s="44"/>
      <c r="U72" s="73"/>
      <c r="V72" s="102"/>
      <c r="W72" s="107"/>
      <c r="X72" s="105"/>
    </row>
    <row r="73" spans="2:24" ht="15" hidden="1" customHeight="1" x14ac:dyDescent="0.4">
      <c r="B73" s="284" t="s">
        <v>7</v>
      </c>
      <c r="C73" s="285"/>
      <c r="D73" s="285"/>
      <c r="E73" s="285"/>
      <c r="F73" s="285"/>
      <c r="G73" s="286"/>
      <c r="H73" s="44"/>
      <c r="I73" s="73"/>
      <c r="J73" s="44"/>
      <c r="K73" s="73"/>
      <c r="L73" s="82"/>
      <c r="M73" s="44"/>
      <c r="N73" s="73"/>
      <c r="O73" s="46"/>
      <c r="P73" s="73"/>
      <c r="Q73" s="86"/>
      <c r="R73" s="45"/>
      <c r="S73" s="73"/>
      <c r="T73" s="44"/>
      <c r="U73" s="73"/>
      <c r="V73" s="102"/>
      <c r="W73" s="107"/>
      <c r="X73" s="105"/>
    </row>
    <row r="74" spans="2:24" ht="15" hidden="1" customHeight="1" x14ac:dyDescent="0.4">
      <c r="B74" s="284" t="s">
        <v>0</v>
      </c>
      <c r="C74" s="285"/>
      <c r="D74" s="285"/>
      <c r="E74" s="285"/>
      <c r="F74" s="285"/>
      <c r="G74" s="286"/>
      <c r="H74" s="44">
        <v>4</v>
      </c>
      <c r="I74" s="73">
        <v>1500</v>
      </c>
      <c r="J74" s="44">
        <v>2</v>
      </c>
      <c r="K74" s="73">
        <v>900</v>
      </c>
      <c r="L74" s="82">
        <v>4</v>
      </c>
      <c r="M74" s="44">
        <v>2</v>
      </c>
      <c r="N74" s="73">
        <f>+K74*1500+M74*500</f>
        <v>1351000</v>
      </c>
      <c r="O74" s="46">
        <v>1</v>
      </c>
      <c r="P74" s="73">
        <f>+M74*1500+O74*500</f>
        <v>3500</v>
      </c>
      <c r="Q74" s="86">
        <v>4500</v>
      </c>
      <c r="R74" s="45">
        <v>500</v>
      </c>
      <c r="S74" s="73">
        <v>300</v>
      </c>
      <c r="T74" s="44">
        <v>40</v>
      </c>
      <c r="U74" s="73">
        <v>150</v>
      </c>
      <c r="V74" s="102">
        <v>45000</v>
      </c>
      <c r="W74" s="107">
        <f>+(H74*I74)+(J74*K74)+L74*(P74+Q74+R74+S74)+(T74*U74)+V74</f>
        <v>94000</v>
      </c>
      <c r="X74" s="105"/>
    </row>
    <row r="75" spans="2:24" ht="15" hidden="1" customHeight="1" x14ac:dyDescent="0.4">
      <c r="B75" s="284" t="s">
        <v>28</v>
      </c>
      <c r="C75" s="285"/>
      <c r="D75" s="285"/>
      <c r="E75" s="285"/>
      <c r="F75" s="285"/>
      <c r="G75" s="286"/>
      <c r="H75" s="44">
        <v>4</v>
      </c>
      <c r="I75" s="74">
        <v>1500</v>
      </c>
      <c r="J75" s="44"/>
      <c r="K75" s="73"/>
      <c r="L75" s="82">
        <v>10</v>
      </c>
      <c r="M75" s="44">
        <v>2</v>
      </c>
      <c r="N75" s="73">
        <f>+K75*1500+M75*500</f>
        <v>1000</v>
      </c>
      <c r="O75" s="46">
        <v>2</v>
      </c>
      <c r="P75" s="73">
        <f>+M75*1500+O75*500</f>
        <v>4000</v>
      </c>
      <c r="Q75" s="86">
        <v>15000</v>
      </c>
      <c r="R75" s="48">
        <v>500</v>
      </c>
      <c r="S75" s="74">
        <v>300</v>
      </c>
      <c r="T75" s="44">
        <v>250</v>
      </c>
      <c r="U75" s="74">
        <v>150</v>
      </c>
      <c r="V75" s="103">
        <v>50000</v>
      </c>
      <c r="W75" s="107">
        <f>+(H75*I75)+(J75*K75)+L75*(P75+Q75+R75+S75)+(T75*U75)+V75</f>
        <v>291500</v>
      </c>
      <c r="X75" s="105"/>
    </row>
    <row r="76" spans="2:24" ht="15" hidden="1" customHeight="1" x14ac:dyDescent="0.4">
      <c r="B76" s="284" t="s">
        <v>53</v>
      </c>
      <c r="C76" s="285"/>
      <c r="D76" s="285"/>
      <c r="E76" s="285"/>
      <c r="F76" s="285"/>
      <c r="G76" s="286"/>
      <c r="H76" s="44">
        <v>4</v>
      </c>
      <c r="I76" s="73">
        <v>1500</v>
      </c>
      <c r="J76" s="44">
        <v>1</v>
      </c>
      <c r="K76" s="73">
        <v>900</v>
      </c>
      <c r="L76" s="82">
        <v>5</v>
      </c>
      <c r="M76" s="44">
        <v>1</v>
      </c>
      <c r="N76" s="73">
        <f>+K76*1500+M76*500</f>
        <v>1350500</v>
      </c>
      <c r="O76" s="46">
        <v>1</v>
      </c>
      <c r="P76" s="73">
        <f>+M76*1500+O76*500</f>
        <v>2000</v>
      </c>
      <c r="Q76" s="86">
        <v>3500</v>
      </c>
      <c r="R76" s="45">
        <v>500</v>
      </c>
      <c r="S76" s="73">
        <v>150</v>
      </c>
      <c r="T76" s="44">
        <v>50</v>
      </c>
      <c r="U76" s="73">
        <v>150</v>
      </c>
      <c r="V76" s="102">
        <v>40000</v>
      </c>
      <c r="W76" s="107">
        <f>+(H76*I76)+(J76*K76)+L76*(P76+Q76+R76+S76)+(T76*U76)+V76</f>
        <v>85150</v>
      </c>
      <c r="X76" s="105"/>
    </row>
    <row r="77" spans="2:24" ht="15" hidden="1" customHeight="1" x14ac:dyDescent="0.4">
      <c r="B77" s="174"/>
      <c r="C77" s="175" t="s">
        <v>31</v>
      </c>
      <c r="D77" s="175"/>
      <c r="E77" s="175"/>
      <c r="F77" s="175"/>
      <c r="G77" s="176"/>
      <c r="H77" s="165">
        <v>3</v>
      </c>
      <c r="I77" s="166">
        <v>1500</v>
      </c>
      <c r="J77" s="165">
        <v>1</v>
      </c>
      <c r="K77" s="167">
        <v>900</v>
      </c>
      <c r="L77" s="168">
        <v>3</v>
      </c>
      <c r="M77" s="165">
        <v>1</v>
      </c>
      <c r="N77" s="167">
        <v>2000</v>
      </c>
      <c r="O77" s="169">
        <v>2</v>
      </c>
      <c r="P77" s="167">
        <v>2000</v>
      </c>
      <c r="Q77" s="170">
        <v>1000</v>
      </c>
      <c r="R77" s="171">
        <v>250</v>
      </c>
      <c r="S77" s="166">
        <v>150</v>
      </c>
      <c r="T77" s="165">
        <v>10</v>
      </c>
      <c r="U77" s="166">
        <v>150</v>
      </c>
      <c r="V77" s="172">
        <v>15000</v>
      </c>
      <c r="W77" s="107">
        <f>+(H77*I77)+(J77*K77)+L77*(P77+Q77+R77+S77)+(T77*U77)+V77</f>
        <v>32100</v>
      </c>
      <c r="X77" s="173"/>
    </row>
    <row r="78" spans="2:24" ht="15" customHeight="1" thickBot="1" x14ac:dyDescent="0.45">
      <c r="B78" s="275"/>
      <c r="C78" s="276"/>
      <c r="D78" s="276"/>
      <c r="E78" s="276"/>
      <c r="F78" s="276"/>
      <c r="G78" s="277"/>
      <c r="H78" s="75"/>
      <c r="I78" s="76"/>
      <c r="J78" s="75"/>
      <c r="K78" s="78"/>
      <c r="L78" s="83"/>
      <c r="M78" s="85"/>
      <c r="N78" s="76"/>
      <c r="O78" s="49"/>
      <c r="P78" s="76"/>
      <c r="Q78" s="88"/>
      <c r="R78" s="49"/>
      <c r="S78" s="76"/>
      <c r="T78" s="75"/>
      <c r="U78" s="101"/>
      <c r="V78" s="83"/>
      <c r="W78" s="75"/>
      <c r="X78" s="50"/>
    </row>
    <row r="79" spans="2:24" ht="13.5" x14ac:dyDescent="0.35">
      <c r="B79" s="9"/>
      <c r="G79" s="14"/>
      <c r="H79" s="14"/>
      <c r="I79" s="40"/>
      <c r="J79" s="14"/>
      <c r="K79" s="39"/>
      <c r="L79" s="14"/>
      <c r="M79" s="40"/>
      <c r="N79" s="40"/>
      <c r="O79" s="40"/>
      <c r="P79" s="14"/>
      <c r="Q79" s="14"/>
      <c r="R79" s="14"/>
      <c r="S79" s="14"/>
      <c r="T79" s="14"/>
      <c r="U79" s="14"/>
      <c r="V79" s="14"/>
    </row>
    <row r="80" spans="2:24" ht="13.5" x14ac:dyDescent="0.35">
      <c r="B80" s="9"/>
      <c r="I80" s="33"/>
      <c r="K80" s="15"/>
      <c r="M80" s="33"/>
      <c r="N80" s="33"/>
      <c r="O80" s="33"/>
    </row>
    <row r="81" spans="2:15" ht="13.5" x14ac:dyDescent="0.35">
      <c r="B81" s="9"/>
      <c r="K81" s="15"/>
      <c r="N81" s="33"/>
      <c r="O81" s="33"/>
    </row>
    <row r="82" spans="2:15" ht="13.5" x14ac:dyDescent="0.35">
      <c r="B82" s="9"/>
      <c r="K82" s="15"/>
      <c r="N82" s="33"/>
      <c r="O82" s="33"/>
    </row>
    <row r="83" spans="2:15" ht="13.5" x14ac:dyDescent="0.35">
      <c r="B83" s="9"/>
      <c r="K83" s="15"/>
    </row>
    <row r="84" spans="2:15" ht="13.5" x14ac:dyDescent="0.35">
      <c r="B84" s="9"/>
      <c r="K84" s="15"/>
    </row>
    <row r="85" spans="2:15" ht="13.5" x14ac:dyDescent="0.35">
      <c r="B85" s="9"/>
      <c r="I85" t="s">
        <v>147</v>
      </c>
      <c r="K85" s="15"/>
    </row>
    <row r="86" spans="2:15" ht="13.5" x14ac:dyDescent="0.35">
      <c r="B86" s="9"/>
      <c r="K86" s="15"/>
    </row>
    <row r="87" spans="2:15" ht="13.5" x14ac:dyDescent="0.35">
      <c r="B87" s="9"/>
      <c r="K87" s="15"/>
    </row>
    <row r="88" spans="2:15" ht="13.5" x14ac:dyDescent="0.35">
      <c r="B88" s="9"/>
      <c r="K88" s="15"/>
    </row>
    <row r="89" spans="2:15" ht="13.5" x14ac:dyDescent="0.35">
      <c r="B89" s="9"/>
      <c r="K89" s="15"/>
    </row>
    <row r="90" spans="2:15" ht="13.5" x14ac:dyDescent="0.35">
      <c r="B90" s="9"/>
      <c r="K90" s="15"/>
    </row>
    <row r="91" spans="2:15" x14ac:dyDescent="0.35">
      <c r="B91" s="9"/>
    </row>
    <row r="92" spans="2:15" x14ac:dyDescent="0.35">
      <c r="B92" s="9"/>
    </row>
    <row r="93" spans="2:15" x14ac:dyDescent="0.35">
      <c r="B93" s="9"/>
    </row>
    <row r="94" spans="2:15" x14ac:dyDescent="0.35">
      <c r="B94" s="9"/>
    </row>
    <row r="95" spans="2:15" x14ac:dyDescent="0.35">
      <c r="B95" s="9"/>
    </row>
    <row r="96" spans="2:15" x14ac:dyDescent="0.35">
      <c r="B96" s="9"/>
    </row>
    <row r="97" spans="2:2" x14ac:dyDescent="0.35">
      <c r="B97" s="9"/>
    </row>
    <row r="98" spans="2:2" x14ac:dyDescent="0.35">
      <c r="B98" s="9"/>
    </row>
    <row r="99" spans="2:2" x14ac:dyDescent="0.35">
      <c r="B99" s="9"/>
    </row>
    <row r="100" spans="2:2" x14ac:dyDescent="0.35">
      <c r="B100" s="9"/>
    </row>
    <row r="101" spans="2:2" x14ac:dyDescent="0.35">
      <c r="B101" s="9"/>
    </row>
    <row r="102" spans="2:2" x14ac:dyDescent="0.35">
      <c r="B102" s="9"/>
    </row>
    <row r="103" spans="2:2" x14ac:dyDescent="0.35">
      <c r="B103" s="9"/>
    </row>
    <row r="104" spans="2:2" x14ac:dyDescent="0.35">
      <c r="B104" s="9"/>
    </row>
    <row r="105" spans="2:2" x14ac:dyDescent="0.35">
      <c r="B105" s="9"/>
    </row>
    <row r="106" spans="2:2" x14ac:dyDescent="0.35">
      <c r="B106" s="9"/>
    </row>
    <row r="107" spans="2:2" x14ac:dyDescent="0.35">
      <c r="B107" s="9"/>
    </row>
    <row r="108" spans="2:2" x14ac:dyDescent="0.35">
      <c r="B108" s="9"/>
    </row>
    <row r="109" spans="2:2" x14ac:dyDescent="0.35">
      <c r="B109" s="9"/>
    </row>
    <row r="110" spans="2:2" x14ac:dyDescent="0.35">
      <c r="B110" s="9"/>
    </row>
    <row r="111" spans="2:2" x14ac:dyDescent="0.35">
      <c r="B111" s="9"/>
    </row>
    <row r="112" spans="2:2" x14ac:dyDescent="0.35">
      <c r="B112" s="9"/>
    </row>
    <row r="113" spans="2:2" x14ac:dyDescent="0.35">
      <c r="B113" s="9"/>
    </row>
    <row r="114" spans="2:2" x14ac:dyDescent="0.35">
      <c r="B114" s="9"/>
    </row>
    <row r="115" spans="2:2" x14ac:dyDescent="0.35">
      <c r="B115" s="9"/>
    </row>
    <row r="116" spans="2:2" x14ac:dyDescent="0.35">
      <c r="B116" s="9"/>
    </row>
    <row r="117" spans="2:2" x14ac:dyDescent="0.35">
      <c r="B117" s="9"/>
    </row>
    <row r="118" spans="2:2" x14ac:dyDescent="0.35">
      <c r="B118" s="9"/>
    </row>
    <row r="119" spans="2:2" x14ac:dyDescent="0.35">
      <c r="B119" s="9"/>
    </row>
    <row r="120" spans="2:2" x14ac:dyDescent="0.35">
      <c r="B120" s="9"/>
    </row>
    <row r="121" spans="2:2" x14ac:dyDescent="0.35">
      <c r="B121" s="9"/>
    </row>
    <row r="122" spans="2:2" x14ac:dyDescent="0.35">
      <c r="B122" s="9"/>
    </row>
    <row r="123" spans="2:2" x14ac:dyDescent="0.35">
      <c r="B123" s="9"/>
    </row>
    <row r="124" spans="2:2" x14ac:dyDescent="0.35">
      <c r="B124" s="9"/>
    </row>
    <row r="125" spans="2:2" x14ac:dyDescent="0.35">
      <c r="B125" s="9"/>
    </row>
    <row r="126" spans="2:2" x14ac:dyDescent="0.35">
      <c r="B126" s="9"/>
    </row>
    <row r="127" spans="2:2" x14ac:dyDescent="0.35">
      <c r="B127" s="9"/>
    </row>
    <row r="128" spans="2:2" x14ac:dyDescent="0.35">
      <c r="B128" s="9"/>
    </row>
    <row r="129" spans="2:2" x14ac:dyDescent="0.35">
      <c r="B129" s="9"/>
    </row>
    <row r="130" spans="2:2" x14ac:dyDescent="0.35">
      <c r="B130" s="9"/>
    </row>
    <row r="131" spans="2:2" x14ac:dyDescent="0.35">
      <c r="B131" s="9"/>
    </row>
    <row r="132" spans="2:2" x14ac:dyDescent="0.35">
      <c r="B132" s="9"/>
    </row>
    <row r="133" spans="2:2" x14ac:dyDescent="0.35">
      <c r="B133" s="9"/>
    </row>
    <row r="134" spans="2:2" x14ac:dyDescent="0.35">
      <c r="B134" s="9"/>
    </row>
    <row r="135" spans="2:2" x14ac:dyDescent="0.35">
      <c r="B135" s="9"/>
    </row>
    <row r="136" spans="2:2" x14ac:dyDescent="0.35">
      <c r="B136" s="9"/>
    </row>
    <row r="137" spans="2:2" x14ac:dyDescent="0.35">
      <c r="B137" s="9"/>
    </row>
    <row r="138" spans="2:2" x14ac:dyDescent="0.35">
      <c r="B138" s="9"/>
    </row>
    <row r="139" spans="2:2" x14ac:dyDescent="0.35">
      <c r="B139" s="9"/>
    </row>
    <row r="140" spans="2:2" x14ac:dyDescent="0.35">
      <c r="B140" s="9"/>
    </row>
    <row r="141" spans="2:2" x14ac:dyDescent="0.35">
      <c r="B141" s="9"/>
    </row>
    <row r="142" spans="2:2" x14ac:dyDescent="0.35">
      <c r="B142" s="9"/>
    </row>
    <row r="143" spans="2:2" x14ac:dyDescent="0.35">
      <c r="B143" s="9"/>
    </row>
    <row r="144" spans="2:2" x14ac:dyDescent="0.35">
      <c r="B144" s="9"/>
    </row>
    <row r="145" spans="2:2" x14ac:dyDescent="0.35">
      <c r="B145" s="9"/>
    </row>
    <row r="146" spans="2:2" x14ac:dyDescent="0.35">
      <c r="B146" s="9"/>
    </row>
    <row r="147" spans="2:2" x14ac:dyDescent="0.35">
      <c r="B147" s="9"/>
    </row>
    <row r="148" spans="2:2" x14ac:dyDescent="0.35">
      <c r="B148" s="9"/>
    </row>
    <row r="149" spans="2:2" x14ac:dyDescent="0.35">
      <c r="B149" s="9"/>
    </row>
    <row r="150" spans="2:2" x14ac:dyDescent="0.35">
      <c r="B150" s="9"/>
    </row>
    <row r="151" spans="2:2" x14ac:dyDescent="0.35">
      <c r="B151" s="9"/>
    </row>
    <row r="152" spans="2:2" x14ac:dyDescent="0.35">
      <c r="B152" s="9"/>
    </row>
    <row r="153" spans="2:2" x14ac:dyDescent="0.35">
      <c r="B153" s="9"/>
    </row>
    <row r="154" spans="2:2" x14ac:dyDescent="0.35">
      <c r="B154" s="9"/>
    </row>
    <row r="155" spans="2:2" x14ac:dyDescent="0.35">
      <c r="B155" s="9"/>
    </row>
    <row r="156" spans="2:2" x14ac:dyDescent="0.35">
      <c r="B156" s="9"/>
    </row>
    <row r="157" spans="2:2" x14ac:dyDescent="0.35">
      <c r="B157" s="9"/>
    </row>
    <row r="158" spans="2:2" x14ac:dyDescent="0.35">
      <c r="B158" s="9"/>
    </row>
    <row r="159" spans="2:2" x14ac:dyDescent="0.35">
      <c r="B159" s="9"/>
    </row>
    <row r="160" spans="2:2" x14ac:dyDescent="0.35">
      <c r="B160" s="9"/>
    </row>
    <row r="161" spans="2:2" x14ac:dyDescent="0.35">
      <c r="B161" s="9"/>
    </row>
    <row r="162" spans="2:2" x14ac:dyDescent="0.35">
      <c r="B162" s="9"/>
    </row>
    <row r="163" spans="2:2" x14ac:dyDescent="0.35">
      <c r="B163" s="9"/>
    </row>
    <row r="164" spans="2:2" x14ac:dyDescent="0.35">
      <c r="B164" s="9"/>
    </row>
    <row r="165" spans="2:2" x14ac:dyDescent="0.35">
      <c r="B165" s="9"/>
    </row>
    <row r="166" spans="2:2" x14ac:dyDescent="0.35">
      <c r="B166" s="9"/>
    </row>
    <row r="167" spans="2:2" x14ac:dyDescent="0.35">
      <c r="B167" s="9"/>
    </row>
    <row r="168" spans="2:2" x14ac:dyDescent="0.35">
      <c r="B168" s="9"/>
    </row>
    <row r="169" spans="2:2" x14ac:dyDescent="0.35">
      <c r="B169" s="9"/>
    </row>
    <row r="170" spans="2:2" x14ac:dyDescent="0.35">
      <c r="B170" s="9"/>
    </row>
    <row r="171" spans="2:2" x14ac:dyDescent="0.35">
      <c r="B171" s="9"/>
    </row>
    <row r="172" spans="2:2" x14ac:dyDescent="0.35">
      <c r="B172" s="9"/>
    </row>
    <row r="173" spans="2:2" x14ac:dyDescent="0.35">
      <c r="B173" s="9"/>
    </row>
    <row r="174" spans="2:2" x14ac:dyDescent="0.35">
      <c r="B174" s="9"/>
    </row>
    <row r="175" spans="2:2" x14ac:dyDescent="0.35">
      <c r="B175" s="9"/>
    </row>
    <row r="176" spans="2:2" x14ac:dyDescent="0.35">
      <c r="B176" s="9"/>
    </row>
    <row r="177" spans="2:2" x14ac:dyDescent="0.35">
      <c r="B177" s="9"/>
    </row>
    <row r="178" spans="2:2" x14ac:dyDescent="0.35">
      <c r="B178" s="9"/>
    </row>
    <row r="179" spans="2:2" x14ac:dyDescent="0.35">
      <c r="B179" s="9"/>
    </row>
    <row r="180" spans="2:2" x14ac:dyDescent="0.35">
      <c r="B180" s="9"/>
    </row>
    <row r="181" spans="2:2" x14ac:dyDescent="0.35">
      <c r="B181" s="9"/>
    </row>
    <row r="182" spans="2:2" x14ac:dyDescent="0.35">
      <c r="B182" s="9"/>
    </row>
    <row r="183" spans="2:2" x14ac:dyDescent="0.35">
      <c r="B183" s="9"/>
    </row>
    <row r="184" spans="2:2" x14ac:dyDescent="0.35">
      <c r="B184" s="9"/>
    </row>
    <row r="185" spans="2:2" x14ac:dyDescent="0.35">
      <c r="B185" s="9"/>
    </row>
    <row r="186" spans="2:2" x14ac:dyDescent="0.35">
      <c r="B186" s="9"/>
    </row>
    <row r="187" spans="2:2" x14ac:dyDescent="0.35">
      <c r="B187" s="9"/>
    </row>
    <row r="188" spans="2:2" x14ac:dyDescent="0.35">
      <c r="B188" s="9"/>
    </row>
    <row r="189" spans="2:2" x14ac:dyDescent="0.35">
      <c r="B189" s="9"/>
    </row>
    <row r="190" spans="2:2" x14ac:dyDescent="0.35">
      <c r="B190" s="9"/>
    </row>
    <row r="191" spans="2:2" x14ac:dyDescent="0.35">
      <c r="B191" s="9"/>
    </row>
    <row r="192" spans="2:2" x14ac:dyDescent="0.35">
      <c r="B192" s="9"/>
    </row>
    <row r="193" spans="2:2" x14ac:dyDescent="0.35">
      <c r="B193" s="9"/>
    </row>
    <row r="194" spans="2:2" x14ac:dyDescent="0.35">
      <c r="B194" s="9"/>
    </row>
    <row r="195" spans="2:2" x14ac:dyDescent="0.35">
      <c r="B195" s="9"/>
    </row>
    <row r="196" spans="2:2" x14ac:dyDescent="0.35">
      <c r="B196" s="9"/>
    </row>
    <row r="197" spans="2:2" x14ac:dyDescent="0.35">
      <c r="B197" s="9"/>
    </row>
    <row r="198" spans="2:2" x14ac:dyDescent="0.35">
      <c r="B198" s="9"/>
    </row>
    <row r="199" spans="2:2" x14ac:dyDescent="0.35">
      <c r="B199" s="9"/>
    </row>
    <row r="200" spans="2:2" x14ac:dyDescent="0.35">
      <c r="B200" s="9"/>
    </row>
    <row r="201" spans="2:2" x14ac:dyDescent="0.35">
      <c r="B201" s="9"/>
    </row>
    <row r="202" spans="2:2" x14ac:dyDescent="0.35">
      <c r="B202" s="9"/>
    </row>
    <row r="203" spans="2:2" x14ac:dyDescent="0.35">
      <c r="B203" s="9"/>
    </row>
    <row r="204" spans="2:2" x14ac:dyDescent="0.35">
      <c r="B204" s="9"/>
    </row>
    <row r="205" spans="2:2" x14ac:dyDescent="0.35">
      <c r="B205" s="9"/>
    </row>
    <row r="206" spans="2:2" x14ac:dyDescent="0.35">
      <c r="B206" s="9"/>
    </row>
    <row r="207" spans="2:2" x14ac:dyDescent="0.35">
      <c r="B207" s="9"/>
    </row>
    <row r="208" spans="2:2" x14ac:dyDescent="0.35">
      <c r="B208" s="9"/>
    </row>
    <row r="209" spans="2:2" x14ac:dyDescent="0.35">
      <c r="B209" s="9"/>
    </row>
    <row r="210" spans="2:2" x14ac:dyDescent="0.35">
      <c r="B210" s="9"/>
    </row>
    <row r="211" spans="2:2" x14ac:dyDescent="0.35">
      <c r="B211" s="9"/>
    </row>
    <row r="212" spans="2:2" x14ac:dyDescent="0.35">
      <c r="B212" s="9"/>
    </row>
    <row r="213" spans="2:2" x14ac:dyDescent="0.35">
      <c r="B213" s="9"/>
    </row>
    <row r="214" spans="2:2" x14ac:dyDescent="0.35">
      <c r="B214" s="9"/>
    </row>
    <row r="215" spans="2:2" x14ac:dyDescent="0.35">
      <c r="B215" s="9"/>
    </row>
    <row r="216" spans="2:2" x14ac:dyDescent="0.35">
      <c r="B216" s="9"/>
    </row>
    <row r="217" spans="2:2" x14ac:dyDescent="0.35">
      <c r="B217" s="9"/>
    </row>
    <row r="218" spans="2:2" x14ac:dyDescent="0.35">
      <c r="B218" s="9"/>
    </row>
    <row r="219" spans="2:2" x14ac:dyDescent="0.35">
      <c r="B219" s="9"/>
    </row>
    <row r="220" spans="2:2" x14ac:dyDescent="0.35">
      <c r="B220" s="9"/>
    </row>
    <row r="221" spans="2:2" x14ac:dyDescent="0.35">
      <c r="B221" s="9"/>
    </row>
    <row r="222" spans="2:2" x14ac:dyDescent="0.35">
      <c r="B222" s="9"/>
    </row>
    <row r="223" spans="2:2" x14ac:dyDescent="0.35">
      <c r="B223" s="9"/>
    </row>
    <row r="224" spans="2:2" x14ac:dyDescent="0.35">
      <c r="B224" s="9"/>
    </row>
    <row r="225" spans="2:2" x14ac:dyDescent="0.35">
      <c r="B225" s="9"/>
    </row>
    <row r="226" spans="2:2" x14ac:dyDescent="0.35">
      <c r="B226" s="9"/>
    </row>
    <row r="227" spans="2:2" x14ac:dyDescent="0.35">
      <c r="B227" s="9"/>
    </row>
    <row r="228" spans="2:2" x14ac:dyDescent="0.35">
      <c r="B228" s="9"/>
    </row>
    <row r="229" spans="2:2" x14ac:dyDescent="0.35">
      <c r="B229" s="9"/>
    </row>
    <row r="230" spans="2:2" x14ac:dyDescent="0.35">
      <c r="B230" s="9"/>
    </row>
    <row r="231" spans="2:2" x14ac:dyDescent="0.35">
      <c r="B231" s="9"/>
    </row>
    <row r="232" spans="2:2" x14ac:dyDescent="0.35">
      <c r="B232" s="9"/>
    </row>
    <row r="233" spans="2:2" x14ac:dyDescent="0.35">
      <c r="B233" s="9"/>
    </row>
    <row r="234" spans="2:2" x14ac:dyDescent="0.35">
      <c r="B234" s="9"/>
    </row>
    <row r="235" spans="2:2" x14ac:dyDescent="0.35">
      <c r="B235" s="9"/>
    </row>
    <row r="236" spans="2:2" x14ac:dyDescent="0.35">
      <c r="B236" s="9"/>
    </row>
    <row r="237" spans="2:2" x14ac:dyDescent="0.35">
      <c r="B237" s="9"/>
    </row>
    <row r="238" spans="2:2" x14ac:dyDescent="0.35">
      <c r="B238" s="9"/>
    </row>
    <row r="239" spans="2:2" x14ac:dyDescent="0.35">
      <c r="B239" s="9"/>
    </row>
  </sheetData>
  <mergeCells count="32">
    <mergeCell ref="J4:W4"/>
    <mergeCell ref="H54:I54"/>
    <mergeCell ref="J54:K54"/>
    <mergeCell ref="H28:I28"/>
    <mergeCell ref="J28:W28"/>
    <mergeCell ref="W54:X54"/>
    <mergeCell ref="B65:G65"/>
    <mergeCell ref="B66:G66"/>
    <mergeCell ref="H4:I4"/>
    <mergeCell ref="B5:G5"/>
    <mergeCell ref="B57:G57"/>
    <mergeCell ref="B56:G56"/>
    <mergeCell ref="B61:G61"/>
    <mergeCell ref="B58:G58"/>
    <mergeCell ref="B59:G59"/>
    <mergeCell ref="B60:G60"/>
    <mergeCell ref="B29:G29"/>
    <mergeCell ref="B55:G55"/>
    <mergeCell ref="B78:G78"/>
    <mergeCell ref="B69:G69"/>
    <mergeCell ref="B70:G70"/>
    <mergeCell ref="B71:G71"/>
    <mergeCell ref="B72:G72"/>
    <mergeCell ref="B76:G76"/>
    <mergeCell ref="B73:G73"/>
    <mergeCell ref="B74:G74"/>
    <mergeCell ref="B75:G75"/>
    <mergeCell ref="AE32:AG34"/>
    <mergeCell ref="AE35:AG35"/>
    <mergeCell ref="AE38:AG38"/>
    <mergeCell ref="AE39:AG39"/>
    <mergeCell ref="B39:G39"/>
  </mergeCells>
  <phoneticPr fontId="8" type="noConversion"/>
  <printOptions horizontalCentered="1" gridLines="1"/>
  <pageMargins left="0.19685039370078741" right="0" top="0.55118110236220474" bottom="0.23622047244094491" header="0.39370078740157483" footer="0.15748031496062992"/>
  <pageSetup paperSize="3" scale="61" fitToHeight="0" orientation="landscape" cellComments="asDisplayed" horizontalDpi="4294967294" verticalDpi="4294967294" r:id="rId1"/>
  <headerFooter>
    <oddFooter>&amp;LPrinted:  &amp;D&amp;C_x000D_&amp;RPage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activeCell="A37" sqref="A37"/>
    </sheetView>
  </sheetViews>
  <sheetFormatPr defaultColWidth="8.796875" defaultRowHeight="12.75" x14ac:dyDescent="0.35"/>
  <cols>
    <col min="1" max="1" width="31.796875" customWidth="1"/>
    <col min="2" max="2" width="17" bestFit="1" customWidth="1"/>
    <col min="3" max="3" width="28.6640625" bestFit="1" customWidth="1"/>
    <col min="4" max="4" width="35.6640625" bestFit="1" customWidth="1"/>
    <col min="5" max="5" width="15" bestFit="1" customWidth="1"/>
  </cols>
  <sheetData>
    <row r="1" spans="1:5" ht="15" x14ac:dyDescent="0.4">
      <c r="A1" s="177" t="s">
        <v>41</v>
      </c>
    </row>
    <row r="3" spans="1:5" ht="13.15" x14ac:dyDescent="0.4">
      <c r="A3" s="178" t="s">
        <v>42</v>
      </c>
      <c r="B3" s="178" t="s">
        <v>43</v>
      </c>
      <c r="C3" s="178" t="s">
        <v>44</v>
      </c>
      <c r="D3" s="178" t="s">
        <v>45</v>
      </c>
      <c r="E3" s="178" t="s">
        <v>46</v>
      </c>
    </row>
    <row r="4" spans="1:5" ht="13.15" x14ac:dyDescent="0.4">
      <c r="A4" s="179"/>
      <c r="B4" s="179"/>
      <c r="C4" s="179"/>
      <c r="D4" s="179"/>
      <c r="E4" s="179"/>
    </row>
    <row r="5" spans="1:5" ht="14.25" x14ac:dyDescent="0.35">
      <c r="A5" t="s">
        <v>47</v>
      </c>
      <c r="B5" t="s">
        <v>48</v>
      </c>
      <c r="C5" t="s">
        <v>116</v>
      </c>
      <c r="D5" t="s">
        <v>118</v>
      </c>
      <c r="E5" t="s">
        <v>117</v>
      </c>
    </row>
    <row r="7" spans="1:5" x14ac:dyDescent="0.35">
      <c r="B7" t="s">
        <v>49</v>
      </c>
      <c r="D7" t="s">
        <v>50</v>
      </c>
    </row>
    <row r="8" spans="1:5" x14ac:dyDescent="0.35">
      <c r="B8" t="s">
        <v>51</v>
      </c>
      <c r="D8" t="s">
        <v>52</v>
      </c>
    </row>
    <row r="9" spans="1:5" ht="13.15" x14ac:dyDescent="0.4">
      <c r="A9" s="179"/>
      <c r="B9" s="179"/>
      <c r="C9" s="179"/>
      <c r="D9" s="179"/>
      <c r="E9" s="179"/>
    </row>
    <row r="10" spans="1:5" x14ac:dyDescent="0.35">
      <c r="B10" s="180"/>
      <c r="C10" s="180"/>
      <c r="D10" s="181"/>
      <c r="E10" s="181"/>
    </row>
    <row r="11" spans="1:5" ht="13.15" x14ac:dyDescent="0.4">
      <c r="A11" s="179"/>
      <c r="B11" s="180"/>
      <c r="C11" s="180"/>
      <c r="D11" s="181"/>
      <c r="E11" s="181"/>
    </row>
    <row r="12" spans="1:5" ht="13.15" x14ac:dyDescent="0.4">
      <c r="A12" s="179"/>
      <c r="B12" s="181"/>
      <c r="C12" s="181"/>
      <c r="D12" s="181"/>
      <c r="E12" s="181"/>
    </row>
    <row r="13" spans="1:5" ht="13.15" x14ac:dyDescent="0.4">
      <c r="A13" s="179"/>
      <c r="B13" s="180"/>
      <c r="C13" s="180"/>
      <c r="D13" s="180"/>
      <c r="E13" s="180"/>
    </row>
    <row r="14" spans="1:5" ht="13.15" x14ac:dyDescent="0.4">
      <c r="A14" s="179"/>
      <c r="B14" s="180"/>
      <c r="C14" s="181"/>
      <c r="D14" s="181"/>
      <c r="E14" s="181"/>
    </row>
    <row r="15" spans="1:5" ht="13.15" x14ac:dyDescent="0.4">
      <c r="A15" s="179"/>
      <c r="B15" s="179"/>
      <c r="C15" s="179"/>
      <c r="D15" s="179"/>
      <c r="E15" s="179"/>
    </row>
    <row r="17" spans="1:5" ht="13.15" x14ac:dyDescent="0.4">
      <c r="A17" s="179"/>
      <c r="B17" s="179"/>
      <c r="C17" s="179"/>
      <c r="D17" s="179"/>
      <c r="E17" s="179"/>
    </row>
    <row r="25" spans="1:5" x14ac:dyDescent="0.35">
      <c r="A25" s="130"/>
      <c r="B25" s="130"/>
      <c r="C25" s="130"/>
      <c r="D25" s="130"/>
      <c r="E25" s="130"/>
    </row>
    <row r="27" spans="1:5" x14ac:dyDescent="0.35">
      <c r="A27" s="182" t="s">
        <v>14</v>
      </c>
    </row>
    <row r="28" spans="1:5" x14ac:dyDescent="0.35">
      <c r="A28" t="s">
        <v>119</v>
      </c>
    </row>
    <row r="29" spans="1:5" x14ac:dyDescent="0.35">
      <c r="D29" s="183"/>
      <c r="E29" s="183"/>
    </row>
    <row r="31" spans="1:5" x14ac:dyDescent="0.35">
      <c r="D31" s="184"/>
      <c r="E31" s="184"/>
    </row>
  </sheetData>
  <phoneticPr fontId="8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100 Years DCF</vt:lpstr>
      <vt:lpstr>Monitoring Calcs</vt:lpstr>
      <vt:lpstr>PECG Recommendations</vt:lpstr>
      <vt:lpstr>'100 Years DCF'!Print_Area</vt:lpstr>
      <vt:lpstr>'Monitoring Calcs'!Print_Titles</vt:lpstr>
    </vt:vector>
  </TitlesOfParts>
  <Company>Cascade Management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McMahon</dc:creator>
  <cp:lastModifiedBy>cgravelle</cp:lastModifiedBy>
  <cp:lastPrinted>2018-06-14T14:45:42Z</cp:lastPrinted>
  <dcterms:created xsi:type="dcterms:W3CDTF">2006-10-12T15:37:32Z</dcterms:created>
  <dcterms:modified xsi:type="dcterms:W3CDTF">2018-06-14T14:45:51Z</dcterms:modified>
</cp:coreProperties>
</file>