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howInkAnnotation="0" updateLinks="always" codeName="ThisWorkbook"/>
  <mc:AlternateContent xmlns:mc="http://schemas.openxmlformats.org/markup-compatibility/2006">
    <mc:Choice Requires="x15">
      <x15ac:absPath xmlns:x15ac="http://schemas.microsoft.com/office/spreadsheetml/2010/11/ac" url="C:\Users\Steve\Dropbox\Laptop Data\SJC-current\KIA &amp; BGC\KIA-Ulu\2025 Work\"/>
    </mc:Choice>
  </mc:AlternateContent>
  <xr:revisionPtr revIDLastSave="0" documentId="8_{15F4695B-A58E-449E-AC9A-9202ED33ED91}" xr6:coauthVersionLast="47" xr6:coauthVersionMax="47" xr10:uidLastSave="{00000000-0000-0000-0000-000000000000}"/>
  <bookViews>
    <workbookView xWindow="-120" yWindow="-120" windowWidth="29040" windowHeight="15720" xr2:uid="{00000000-000D-0000-FFFF-FFFF00000000}"/>
  </bookViews>
  <sheets>
    <sheet name="T1 Summary" sheetId="2" r:id="rId1"/>
    <sheet name="T2 Cost Estimate Details" sheetId="7" r:id="rId2"/>
    <sheet name="T3 Monit&amp;Report Details" sheetId="8" r:id="rId3"/>
    <sheet name="T4 Eqpmnt &amp; Labour Rates" sheetId="3" r:id="rId4"/>
    <sheet name="T5 Task Unit Costs" sheetId="38" r:id="rId5"/>
    <sheet name="Sheet1" sheetId="24" r:id="rId6"/>
    <sheet name="Sheet2" sheetId="27" r:id="rId7"/>
  </sheets>
  <definedNames>
    <definedName name="Prices" localSheetId="4">'T5 Task Unit Costs'!$B$5:$B$35</definedName>
    <definedName name="Prices">'T4 Eqpmnt &amp; Labour Rates'!$B$5:$B$40</definedName>
    <definedName name="_xlnm.Print_Area" localSheetId="0">'T1 Summary'!$B$1:$C$31</definedName>
    <definedName name="_xlnm.Print_Area" localSheetId="1">'T2 Cost Estimate Details'!$B$2:$H$167</definedName>
    <definedName name="_xlnm.Print_Area" localSheetId="2">'T3 Monit&amp;Report Details'!$B$2:$I$32</definedName>
    <definedName name="_xlnm.Print_Area" localSheetId="3">'T4 Eqpmnt &amp; Labour Rates'!$B$1:$D$42</definedName>
    <definedName name="_xlnm.Print_Area" localSheetId="4">'T5 Task Unit Costs'!$B$1:$E$38</definedName>
    <definedName name="_xlnm.Print_Titles" localSheetId="1">'T2 Cost Estimate Details'!$2:$5</definedName>
    <definedName name="_xlnm.Print_Titles" localSheetId="2">'T3 Monit&amp;Report Details'!$4:$5</definedName>
    <definedName name="UnitCost" localSheetId="4">'T5 Task Unit Costs'!$B$4:$E$35</definedName>
    <definedName name="UnitCost">'T4 Eqpmnt &amp; Labour Rates'!$B$4:$D$40</definedName>
    <definedName name="Z_0435700E_1392_4025_B07E_FA5F52D90F28_.wvu.PrintArea" localSheetId="1" hidden="1">'T2 Cost Estimate Details'!$B$2:$H$163</definedName>
    <definedName name="Z_0435700E_1392_4025_B07E_FA5F52D90F28_.wvu.PrintArea" localSheetId="2" hidden="1">'T3 Monit&amp;Report Details'!$B$2:$I$28</definedName>
    <definedName name="Z_0435700E_1392_4025_B07E_FA5F52D90F28_.wvu.PrintArea" localSheetId="3" hidden="1">'T4 Eqpmnt &amp; Labour Rates'!$B$1:$D$28</definedName>
    <definedName name="Z_0435700E_1392_4025_B07E_FA5F52D90F28_.wvu.PrintArea" localSheetId="4" hidden="1">'T5 Task Unit Costs'!$B$1:$E$31</definedName>
    <definedName name="Z_0435700E_1392_4025_B07E_FA5F52D90F28_.wvu.PrintTitles" localSheetId="1" hidden="1">'T2 Cost Estimate Details'!$4:$5</definedName>
    <definedName name="Z_0435700E_1392_4025_B07E_FA5F52D90F28_.wvu.PrintTitles" localSheetId="2" hidden="1">'T3 Monit&amp;Report Details'!$4:$5</definedName>
    <definedName name="Z_0435700E_1392_4025_B07E_FA5F52D90F28_.wvu.Rows" localSheetId="3" hidden="1">'T4 Eqpmnt &amp; Labour Rates'!#REF!</definedName>
    <definedName name="Z_0435700E_1392_4025_B07E_FA5F52D90F28_.wvu.Rows" localSheetId="4" hidden="1">'T5 Task Unit Costs'!#REF!</definedName>
    <definedName name="Z_75DBF38E_DFBC_4022_9776_42B50461E60D_.wvu.Cols" localSheetId="0" hidden="1">'T1 Summary'!#REF!</definedName>
    <definedName name="Z_75DBF38E_DFBC_4022_9776_42B50461E60D_.wvu.Cols" localSheetId="1" hidden="1">'T2 Cost Estimate Details'!$I:$J</definedName>
    <definedName name="Z_75DBF38E_DFBC_4022_9776_42B50461E60D_.wvu.Cols" localSheetId="2" hidden="1">'T3 Monit&amp;Report Details'!$J:$K</definedName>
    <definedName name="Z_75DBF38E_DFBC_4022_9776_42B50461E60D_.wvu.Cols" localSheetId="3" hidden="1">'T4 Eqpmnt &amp; Labour Rates'!$F:$G,'T4 Eqpmnt &amp; Labour Rates'!#REF!</definedName>
    <definedName name="Z_75DBF38E_DFBC_4022_9776_42B50461E60D_.wvu.Cols" localSheetId="4" hidden="1">'T5 Task Unit Costs'!$G:$H,'T5 Task Unit Costs'!#REF!</definedName>
    <definedName name="Z_75DBF38E_DFBC_4022_9776_42B50461E60D_.wvu.PrintArea" localSheetId="0" hidden="1">'T1 Summary'!$B$1:$C$37</definedName>
    <definedName name="Z_75DBF38E_DFBC_4022_9776_42B50461E60D_.wvu.PrintArea" localSheetId="1" hidden="1">'T2 Cost Estimate Details'!$B$2:$H$167</definedName>
    <definedName name="Z_75DBF38E_DFBC_4022_9776_42B50461E60D_.wvu.PrintArea" localSheetId="2" hidden="1">'T3 Monit&amp;Report Details'!$B$2:$I$32</definedName>
    <definedName name="Z_75DBF38E_DFBC_4022_9776_42B50461E60D_.wvu.PrintArea" localSheetId="3" hidden="1">'T4 Eqpmnt &amp; Labour Rates'!$B$1:$D$44</definedName>
    <definedName name="Z_75DBF38E_DFBC_4022_9776_42B50461E60D_.wvu.PrintArea" localSheetId="4" hidden="1">'T5 Task Unit Costs'!$B$1:$E$40</definedName>
    <definedName name="Z_75DBF38E_DFBC_4022_9776_42B50461E60D_.wvu.PrintTitles" localSheetId="1" hidden="1">'T2 Cost Estimate Details'!$4:$5</definedName>
    <definedName name="Z_75DBF38E_DFBC_4022_9776_42B50461E60D_.wvu.PrintTitles" localSheetId="2" hidden="1">'T3 Monit&amp;Report Details'!$4:$5</definedName>
    <definedName name="Z_75DBF38E_DFBC_4022_9776_42B50461E60D_.wvu.Rows" localSheetId="0" hidden="1">'T1 Summary'!#REF!</definedName>
    <definedName name="Z_75DBF38E_DFBC_4022_9776_42B50461E60D_.wvu.Rows" localSheetId="3" hidden="1">'T4 Eqpmnt &amp; Labour Rates'!$26:$26</definedName>
    <definedName name="Z_75DBF38E_DFBC_4022_9776_42B50461E60D_.wvu.Rows" localSheetId="4" hidden="1">'T5 Task Unit Costs'!$27:$27</definedName>
  </definedNames>
  <calcPr calcId="191029"/>
  <customWorkbookViews>
    <customWorkbookView name="kboldt - Personal View" guid="{75DBF38E-DFBC-4022-9776-42B50461E60D}" mergeInterval="0" personalView="1" maximized="1" xWindow="-8" yWindow="-8" windowWidth="1936" windowHeight="1066" tabRatio="930" activeSheetId="5"/>
    <customWorkbookView name="Steve Januszewski - Personal View" guid="{0435700E-1392-4025-B07E-FA5F52D90F28}" mergeInterval="0" personalView="1" maximized="1" windowWidth="1276" windowHeight="800" tabRatio="930" activeSheetId="1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2" l="1"/>
  <c r="G96" i="7"/>
  <c r="F97" i="7"/>
  <c r="G97" i="7" s="1"/>
  <c r="F96" i="7"/>
  <c r="F108" i="7"/>
  <c r="F107" i="7"/>
  <c r="G188" i="7"/>
  <c r="F40" i="8"/>
  <c r="F40" i="7"/>
  <c r="G40" i="7" l="1"/>
  <c r="F192" i="7"/>
  <c r="E192" i="7"/>
  <c r="H190" i="7"/>
  <c r="E190" i="7"/>
  <c r="G190" i="7"/>
  <c r="D16" i="7"/>
  <c r="D18" i="7"/>
  <c r="H8" i="8"/>
  <c r="H13" i="8"/>
  <c r="G46" i="8"/>
  <c r="H46" i="8"/>
  <c r="F46" i="8"/>
  <c r="I44" i="8"/>
  <c r="H44" i="8"/>
  <c r="G44" i="8"/>
  <c r="I58" i="8"/>
  <c r="I57" i="8"/>
  <c r="I56" i="8"/>
  <c r="I55" i="8"/>
  <c r="I54" i="8"/>
  <c r="I53" i="8"/>
  <c r="F52" i="7" l="1"/>
  <c r="D20" i="7"/>
  <c r="D17" i="7"/>
  <c r="D9" i="7"/>
  <c r="H42" i="8" l="1"/>
  <c r="G161" i="7"/>
  <c r="D45" i="7"/>
  <c r="D46" i="7"/>
  <c r="D47" i="7"/>
  <c r="D51" i="7"/>
  <c r="D52" i="7"/>
  <c r="D53" i="7"/>
  <c r="F70" i="7" l="1"/>
  <c r="F61" i="7"/>
  <c r="F53" i="7"/>
  <c r="F43" i="7"/>
  <c r="F28" i="7"/>
  <c r="F24" i="7"/>
  <c r="F69" i="7" l="1"/>
  <c r="F60" i="7"/>
  <c r="F58" i="7"/>
  <c r="F68" i="7"/>
  <c r="G68" i="7" s="1"/>
  <c r="F42" i="7"/>
  <c r="D60" i="7"/>
  <c r="D69" i="7"/>
  <c r="D58" i="7"/>
  <c r="D67" i="7"/>
  <c r="G70" i="7"/>
  <c r="F67" i="7"/>
  <c r="F199" i="7"/>
  <c r="F200" i="7" s="1"/>
  <c r="E199" i="7"/>
  <c r="E200" i="7" s="1"/>
  <c r="H196" i="7"/>
  <c r="H197" i="7" s="1"/>
  <c r="G196" i="7"/>
  <c r="G197" i="7" s="1"/>
  <c r="F196" i="7"/>
  <c r="F197" i="7" s="1"/>
  <c r="E196" i="7"/>
  <c r="E197" i="7" s="1"/>
  <c r="F190" i="7"/>
  <c r="F119" i="7" s="1"/>
  <c r="G119" i="7" s="1"/>
  <c r="G67" i="7" l="1"/>
  <c r="G69" i="7"/>
  <c r="G130" i="7"/>
  <c r="G129" i="7"/>
  <c r="C22" i="3"/>
  <c r="C10" i="3"/>
  <c r="C9" i="3"/>
  <c r="C8" i="3"/>
  <c r="C7" i="3"/>
  <c r="C6" i="3"/>
  <c r="C21" i="3"/>
  <c r="C23" i="3"/>
  <c r="C28" i="3"/>
  <c r="C29" i="3"/>
  <c r="C30" i="3"/>
  <c r="C31" i="3"/>
  <c r="C32" i="3"/>
  <c r="C34" i="3"/>
  <c r="C38" i="3"/>
  <c r="C36" i="3"/>
  <c r="C39" i="3"/>
  <c r="C40" i="3"/>
  <c r="F45" i="3"/>
  <c r="F49" i="7"/>
  <c r="C12" i="2" l="1"/>
  <c r="H131" i="7"/>
  <c r="D19" i="38" l="1"/>
  <c r="D34" i="38"/>
  <c r="D33" i="38"/>
  <c r="D35" i="38"/>
  <c r="G178" i="7" l="1"/>
  <c r="I49" i="8"/>
  <c r="O47" i="7"/>
  <c r="H15" i="8"/>
  <c r="H14" i="8"/>
  <c r="E183" i="7" l="1"/>
  <c r="F180" i="7"/>
  <c r="H180" i="7"/>
  <c r="G180" i="7"/>
  <c r="E180" i="7"/>
  <c r="E175" i="7"/>
  <c r="H172" i="7"/>
  <c r="G172" i="7"/>
  <c r="F172" i="7"/>
  <c r="E172" i="7"/>
  <c r="F175" i="7"/>
  <c r="G85" i="7"/>
  <c r="G83" i="7"/>
  <c r="F59" i="7"/>
  <c r="G59" i="7" s="1"/>
  <c r="G34" i="7"/>
  <c r="G29" i="7"/>
  <c r="F120" i="7" l="1"/>
  <c r="G120" i="7" s="1"/>
  <c r="H122" i="7" s="1"/>
  <c r="C18" i="2" s="1"/>
  <c r="F110" i="7"/>
  <c r="G110" i="7" s="1"/>
  <c r="F47" i="7"/>
  <c r="G47" i="7" s="1"/>
  <c r="F46" i="7"/>
  <c r="G46" i="7" s="1"/>
  <c r="F45" i="7"/>
  <c r="G45" i="7" s="1"/>
  <c r="G43" i="7"/>
  <c r="G42" i="7"/>
  <c r="F23" i="7"/>
  <c r="G23" i="7" s="1"/>
  <c r="F22" i="7"/>
  <c r="G22" i="7" s="1"/>
  <c r="F18" i="7"/>
  <c r="G18" i="7" s="1"/>
  <c r="F17" i="7"/>
  <c r="G17" i="7" s="1"/>
  <c r="F16" i="7"/>
  <c r="G16" i="7" s="1"/>
  <c r="G160" i="7"/>
  <c r="G107" i="7"/>
  <c r="F101" i="7"/>
  <c r="G101" i="7" s="1"/>
  <c r="H104" i="7" s="1"/>
  <c r="F93" i="7"/>
  <c r="G61" i="7"/>
  <c r="G58" i="7"/>
  <c r="G60" i="7"/>
  <c r="G49" i="7"/>
  <c r="G53" i="7"/>
  <c r="G52" i="7"/>
  <c r="F51" i="7"/>
  <c r="G51" i="7" s="1"/>
  <c r="F41" i="7"/>
  <c r="G41" i="7" s="1"/>
  <c r="G36" i="7"/>
  <c r="F80" i="7"/>
  <c r="F86" i="7"/>
  <c r="G86" i="7" s="1"/>
  <c r="F84" i="7"/>
  <c r="G84" i="7" s="1"/>
  <c r="G28" i="7"/>
  <c r="G24" i="7"/>
  <c r="F20" i="7"/>
  <c r="G20" i="7" s="1"/>
  <c r="F14" i="7"/>
  <c r="G14" i="7" s="1"/>
  <c r="H162" i="7" l="1"/>
  <c r="H112" i="7"/>
  <c r="H31" i="7"/>
  <c r="C8" i="2" s="1"/>
  <c r="H55" i="7"/>
  <c r="G80" i="7" l="1"/>
  <c r="G79" i="7"/>
  <c r="G93" i="7"/>
  <c r="G91" i="7"/>
  <c r="H99" i="7" s="1"/>
  <c r="C13" i="2" s="1"/>
  <c r="C14" i="2"/>
  <c r="D23" i="38"/>
  <c r="F9" i="7" s="1"/>
  <c r="G9" i="7" l="1"/>
  <c r="H11" i="7" s="1"/>
  <c r="C7" i="2" s="1"/>
  <c r="C16" i="2" s="1"/>
  <c r="C25" i="2" s="1"/>
  <c r="C28" i="2" s="1"/>
  <c r="H88" i="7"/>
  <c r="C10" i="2"/>
  <c r="C9" i="2"/>
  <c r="C15" i="2"/>
  <c r="C20" i="2" l="1"/>
  <c r="I15" i="8" l="1"/>
  <c r="I8" i="8" l="1"/>
  <c r="J15" i="8"/>
  <c r="J14" i="8"/>
  <c r="I13" i="8"/>
  <c r="J13" i="8" s="1"/>
  <c r="I18" i="8" l="1"/>
  <c r="F133" i="7" s="1"/>
  <c r="G133" i="7" s="1"/>
  <c r="J12" i="8"/>
  <c r="C21" i="2" l="1"/>
  <c r="H135" i="7"/>
  <c r="I10" i="8"/>
  <c r="J26" i="8"/>
  <c r="C19" i="2" l="1"/>
  <c r="F124" i="7"/>
  <c r="G124" i="7" s="1"/>
  <c r="H126" i="7" s="1"/>
  <c r="H113" i="7"/>
  <c r="G149" i="7" s="1"/>
  <c r="I27" i="8"/>
  <c r="G156" i="7" l="1"/>
  <c r="I28" i="8"/>
  <c r="H158" i="7" l="1"/>
  <c r="H163" i="7" s="1"/>
  <c r="G145" i="7"/>
  <c r="H147" i="7" s="1"/>
  <c r="G137" i="7"/>
  <c r="H139" i="7" s="1"/>
  <c r="C22" i="2" s="1"/>
  <c r="C23" i="2" s="1"/>
  <c r="C29" i="2" s="1"/>
  <c r="H151" i="7"/>
  <c r="G141" i="7"/>
  <c r="H143" i="7" s="1"/>
  <c r="H152" i="7" l="1"/>
</calcChain>
</file>

<file path=xl/sharedStrings.xml><?xml version="1.0" encoding="utf-8"?>
<sst xmlns="http://schemas.openxmlformats.org/spreadsheetml/2006/main" count="546" uniqueCount="342">
  <si>
    <t>Description of Cost</t>
  </si>
  <si>
    <t>Sub-Total</t>
  </si>
  <si>
    <t>Equipment Rates</t>
  </si>
  <si>
    <t>Equipment</t>
  </si>
  <si>
    <t>Unit Rates</t>
  </si>
  <si>
    <t>Per Unit</t>
  </si>
  <si>
    <t>per hr</t>
  </si>
  <si>
    <t>per mo</t>
  </si>
  <si>
    <t>Personnel</t>
  </si>
  <si>
    <t>General Labourer</t>
  </si>
  <si>
    <t>Excavation of Soil</t>
  </si>
  <si>
    <t>cu.m</t>
  </si>
  <si>
    <t>per cu.m</t>
  </si>
  <si>
    <t>each</t>
  </si>
  <si>
    <t>`</t>
  </si>
  <si>
    <t>Notes:</t>
  </si>
  <si>
    <t>Item No.</t>
  </si>
  <si>
    <t>Work Item Description</t>
  </si>
  <si>
    <t>Equipment / Labour</t>
  </si>
  <si>
    <t>Units</t>
  </si>
  <si>
    <t>Quantity</t>
  </si>
  <si>
    <t xml:space="preserve">Note: </t>
  </si>
  <si>
    <t xml:space="preserve">same </t>
  </si>
  <si>
    <t>per sq. m</t>
  </si>
  <si>
    <t>Intials</t>
  </si>
  <si>
    <t>Area (ha) /
Length (m)</t>
  </si>
  <si>
    <t>AVG</t>
  </si>
  <si>
    <t>Bucket Cap (cu.m.)</t>
  </si>
  <si>
    <t>Use</t>
  </si>
  <si>
    <t>Vacuum Truck</t>
  </si>
  <si>
    <t>ea</t>
  </si>
  <si>
    <t>Contractor Unit Rates, Camp &amp; WQ Analysis Costs</t>
  </si>
  <si>
    <t>per sample</t>
  </si>
  <si>
    <t>per litre</t>
  </si>
  <si>
    <t>Total</t>
  </si>
  <si>
    <t xml:space="preserve">Proposed Cost
</t>
  </si>
  <si>
    <t>Table 2</t>
  </si>
  <si>
    <t>Table 1</t>
  </si>
  <si>
    <t>round trip</t>
  </si>
  <si>
    <t>Rate Source / Comments</t>
  </si>
  <si>
    <t>per batch</t>
  </si>
  <si>
    <t>Bio-Assay Analysis - Surface Water</t>
  </si>
  <si>
    <t>Analytical Cost - 1 batch of 10 WQ samples</t>
  </si>
  <si>
    <t>Metal Uptake Study</t>
  </si>
  <si>
    <t>Year</t>
  </si>
  <si>
    <t>Calendar</t>
  </si>
  <si>
    <t>Inflation Rate</t>
  </si>
  <si>
    <t>Cost</t>
  </si>
  <si>
    <t xml:space="preserve">Environmental Monitoring </t>
  </si>
  <si>
    <t>As per Table below</t>
  </si>
  <si>
    <t>m3</t>
  </si>
  <si>
    <t>Project Manager</t>
  </si>
  <si>
    <t>Personnel Rates - Contracted</t>
  </si>
  <si>
    <t xml:space="preserve"> </t>
  </si>
  <si>
    <t>lump sum</t>
  </si>
  <si>
    <t>Financial Security for Specified Tasks (Direct Costs)</t>
  </si>
  <si>
    <t>Cat 14G grader</t>
  </si>
  <si>
    <t>CAT D8R Dozer</t>
  </si>
  <si>
    <t>CAT 769C Haul Truck</t>
  </si>
  <si>
    <t>CAT 966 Loader (4yd bucket)</t>
  </si>
  <si>
    <t>Environmental Technician</t>
  </si>
  <si>
    <t>Supervisor</t>
  </si>
  <si>
    <t>per day</t>
  </si>
  <si>
    <t>Survey Crew (surveyor, helper &amp; equipment)</t>
  </si>
  <si>
    <t>Diesel Fuel (delivered to site)</t>
  </si>
  <si>
    <t>per man-day</t>
  </si>
  <si>
    <t>Analytical Cost - 1 batch of 10 ML/ARD samples</t>
  </si>
  <si>
    <t>Camp Cost (based on 10-person seasonal camp)</t>
  </si>
  <si>
    <t>Hazardous Material Removal &amp; Treatment off-site</t>
  </si>
  <si>
    <t>per drum</t>
  </si>
  <si>
    <t>Hazardous Material Treatment on-site</t>
  </si>
  <si>
    <t>allowance</t>
  </si>
  <si>
    <t>Helicopter Charter Rates (aver of AS350B2 &amp; Bell 206LR)</t>
  </si>
  <si>
    <t>Non-Hazardous Waste Landfill</t>
  </si>
  <si>
    <t>Soil Treatment Facility</t>
  </si>
  <si>
    <t>Surface Ore Management</t>
  </si>
  <si>
    <t>Mine Workings</t>
  </si>
  <si>
    <t>Construction Material Transport to Site</t>
  </si>
  <si>
    <t>2. INDIRECT COSTS</t>
  </si>
  <si>
    <t>1. DIRECT COSTS</t>
  </si>
  <si>
    <t>Financial Security for Supporting Tasks (Indirect Costs)</t>
  </si>
  <si>
    <t>3. Contingencies</t>
  </si>
  <si>
    <t>Dash 7 Aircraft</t>
  </si>
  <si>
    <t>Geochemist Consultant</t>
  </si>
  <si>
    <t>CAT 311DR Excavator</t>
  </si>
  <si>
    <t>C-46 Aircraft (5,400kg payload)</t>
  </si>
  <si>
    <t xml:space="preserve">Equipment &amp; Labour Rates </t>
  </si>
  <si>
    <t>Item</t>
  </si>
  <si>
    <t>Water Management</t>
  </si>
  <si>
    <t>Operation and Monitoring</t>
  </si>
  <si>
    <t>Annual Operations</t>
  </si>
  <si>
    <t xml:space="preserve">Hazardous Materials Management </t>
  </si>
  <si>
    <t>Borrow and Quarry</t>
  </si>
  <si>
    <t>Liners</t>
  </si>
  <si>
    <t>Total Estimated Cost for Monitoring and Reporting</t>
  </si>
  <si>
    <t>Comments</t>
  </si>
  <si>
    <t>Relocations</t>
  </si>
  <si>
    <t>Earthworks</t>
  </si>
  <si>
    <t>Construction / Demolition</t>
  </si>
  <si>
    <t>Other</t>
  </si>
  <si>
    <t>Task Unit Costs</t>
  </si>
  <si>
    <t>Geotechnical Inspection - annual</t>
  </si>
  <si>
    <t>Equipment Operator</t>
  </si>
  <si>
    <t>Trades Person - Mechanic/Welder/Electrical</t>
  </si>
  <si>
    <t>per man, rnd trip</t>
  </si>
  <si>
    <t>Crew flights (round trip YK-site, per person)</t>
  </si>
  <si>
    <t>Unit Rate</t>
  </si>
  <si>
    <t>1.  DIRECT COSTS</t>
  </si>
  <si>
    <t>1.2 Non-Hazardous Waste Landfill</t>
  </si>
  <si>
    <t>2.1 Mob &amp; Demob</t>
  </si>
  <si>
    <t>SUB-TOTAL - INDIRECT COSTS</t>
  </si>
  <si>
    <t>3. CONTINGENCIES</t>
  </si>
  <si>
    <t>3.1 Contingency Allowance</t>
  </si>
  <si>
    <t>3.2 Mitigative Contingencies</t>
  </si>
  <si>
    <t>SUB-TOTAL - CONTINGENCIES</t>
  </si>
  <si>
    <t>SUB-TOTAL - DIRECT COSTS</t>
  </si>
  <si>
    <t xml:space="preserve">Notes: </t>
  </si>
  <si>
    <t>Section Total</t>
  </si>
  <si>
    <t>Facility Design</t>
  </si>
  <si>
    <t>1% of Direct Costs (from above)</t>
  </si>
  <si>
    <t>5% of Direct Costs (from above)</t>
  </si>
  <si>
    <t xml:space="preserve">    Place soil cover over liner</t>
  </si>
  <si>
    <t>Filling interstitial areas with fill  material</t>
  </si>
  <si>
    <t>Building demolition</t>
  </si>
  <si>
    <t xml:space="preserve">per m2 </t>
  </si>
  <si>
    <t xml:space="preserve">    Haulage &amp; placement of building rubble in landfill </t>
  </si>
  <si>
    <t>Facility Construction - Earthworks</t>
  </si>
  <si>
    <t xml:space="preserve">    Dozer work</t>
  </si>
  <si>
    <t>Material Sorting and Placement</t>
  </si>
  <si>
    <t xml:space="preserve">    Baseline and Post-Closure PHC contamination testing</t>
  </si>
  <si>
    <t xml:space="preserve">    Operational PHC contamination testing</t>
  </si>
  <si>
    <t xml:space="preserve">    Water quality sampling</t>
  </si>
  <si>
    <t xml:space="preserve">    Levelling of Facility berms</t>
  </si>
  <si>
    <t xml:space="preserve">    Layer 2(load, haul &amp; place)</t>
  </si>
  <si>
    <t xml:space="preserve">    Layer 1 (load, haul &amp; place)</t>
  </si>
  <si>
    <t xml:space="preserve">    Grading of final cover</t>
  </si>
  <si>
    <t xml:space="preserve">    Maintenance contouring/soping of facility cover </t>
  </si>
  <si>
    <t xml:space="preserve">    Maintenance trenching, diversion construction, etc.</t>
  </si>
  <si>
    <t>Peel back current interim esker cover &amp; stockpile material to adjacent area</t>
  </si>
  <si>
    <t xml:space="preserve">    Excavator &amp; loader, haul truck &amp; dozerwork</t>
  </si>
  <si>
    <t xml:space="preserve">    Placement of 2 sea-cans as temporary barrier</t>
  </si>
  <si>
    <t xml:space="preserve">    Sealing of gaps with rockfill</t>
  </si>
  <si>
    <t xml:space="preserve">    Sourcing of appropriate steel plate or alternate</t>
  </si>
  <si>
    <t xml:space="preserve">    Placement of new cover</t>
  </si>
  <si>
    <t>m2</t>
  </si>
  <si>
    <t>days</t>
  </si>
  <si>
    <t>Hazardous Material treatment on site</t>
  </si>
  <si>
    <t>Hazardous Material treatment off-site</t>
  </si>
  <si>
    <t xml:space="preserve">    Allowance</t>
  </si>
  <si>
    <t>Contouring of esker borrow area (dozer work)</t>
  </si>
  <si>
    <t xml:space="preserve">    Supply &amp; place liner cover</t>
  </si>
  <si>
    <t>kg</t>
  </si>
  <si>
    <t>Reference:</t>
  </si>
  <si>
    <t>Table 3</t>
  </si>
  <si>
    <t>Table 4</t>
  </si>
  <si>
    <t>Table 5</t>
  </si>
  <si>
    <t>Financial Security for Contingencies</t>
  </si>
  <si>
    <t>Site Investigations and Reporting</t>
  </si>
  <si>
    <t>Load/Haul/Dump Sand/Fill   &lt;1km</t>
  </si>
  <si>
    <t>Load/Haul/Dump Sand/Fill 3-5km</t>
  </si>
  <si>
    <t>Load/Haul/Dump Debris  &lt;1km</t>
  </si>
  <si>
    <t>Dozer work: General push/pull/rip/compact</t>
  </si>
  <si>
    <t>Sand sorting (PHC contaminated soils)</t>
  </si>
  <si>
    <t>Supply &amp; install Geotextile &amp; LLDPE liner</t>
  </si>
  <si>
    <t>Supply &amp; install Geotextile</t>
  </si>
  <si>
    <t>Placement &amp; spreading of 2 layered final cover</t>
  </si>
  <si>
    <t>Soil/sand placement</t>
  </si>
  <si>
    <t>Liner removal</t>
  </si>
  <si>
    <t xml:space="preserve">    Liner load/haul/dump to landfill</t>
  </si>
  <si>
    <t xml:space="preserve">    Liner removal &amp; cutting up</t>
  </si>
  <si>
    <t xml:space="preserve">    Grade final cover</t>
  </si>
  <si>
    <t>Including a 30% allowance for partial load</t>
  </si>
  <si>
    <t>Additional Investigations &amp; Studies</t>
  </si>
  <si>
    <t xml:space="preserve">    Haulage &amp; placement of remaining site equipment in landfill </t>
  </si>
  <si>
    <t xml:space="preserve">    Haulage &amp; placement of remaining misc debris material in landfill</t>
  </si>
  <si>
    <t xml:space="preserve">    Spreading of material in facility</t>
  </si>
  <si>
    <t>Monitoring and Reporting and Other Investigations</t>
  </si>
  <si>
    <t>Other Required Inspections &amp; Assessments</t>
  </si>
  <si>
    <t>Large mobile equipment rebuilds / repairs</t>
  </si>
  <si>
    <t>Bonding &amp; Insurance, H&amp;S, Project Management, Engineering</t>
  </si>
  <si>
    <t>As detailed in Table 3.1</t>
  </si>
  <si>
    <t>DC-3 Aircraft</t>
  </si>
  <si>
    <t>Demolition of Buildings and Structures</t>
  </si>
  <si>
    <t>Liner size from BSGC 2021a (App. C. by SRK 2020)</t>
  </si>
  <si>
    <t>Work effort estimate from BSGC 2021a (App. C. by SRK 2020), assuming 8 hrs production per work-shift.</t>
  </si>
  <si>
    <t>Metal Uptake Study  Yr. 5</t>
  </si>
  <si>
    <t>Revegetation Assessments  Yrs 3 &amp; 5</t>
  </si>
  <si>
    <t>Third party to assist with Annnual Report prep</t>
  </si>
  <si>
    <t>Cost Estimate Details</t>
  </si>
  <si>
    <t xml:space="preserve">    Removal of excess above-grade material from current cap </t>
  </si>
  <si>
    <t>Inflation rate</t>
  </si>
  <si>
    <t>Existing Ulu Camp Buildings &amp; Structures Demolition</t>
  </si>
  <si>
    <t>per sq.m</t>
  </si>
  <si>
    <t>STF - PHC soil sample analysis cost</t>
  </si>
  <si>
    <t>Unit Rates *</t>
  </si>
  <si>
    <t>drums</t>
  </si>
  <si>
    <t>1.1 Demolition of Buildings and Structures</t>
  </si>
  <si>
    <t xml:space="preserve">    Grade surface &amp; place cover sand layer</t>
  </si>
  <si>
    <t>New Facility Cover</t>
  </si>
  <si>
    <t xml:space="preserve">      Contingency Allowance (20% of Direct Costs)</t>
  </si>
  <si>
    <t>2023 Cost</t>
  </si>
  <si>
    <t>Cost By Year *</t>
  </si>
  <si>
    <t>Yrs From 2023</t>
  </si>
  <si>
    <t>20% of Direct Costs (from above)</t>
  </si>
  <si>
    <t>2.2 Monitoring and Reporting</t>
  </si>
  <si>
    <t xml:space="preserve">2.3 Waste Rock ML/ARD Investigation (from BSGC 2021 (App. C by SRK 2020) </t>
  </si>
  <si>
    <t>2.4 Other Required Inspections &amp; Assessments</t>
  </si>
  <si>
    <t>2.5 Bonding/Insurance</t>
  </si>
  <si>
    <t>2.6 Health and Safety</t>
  </si>
  <si>
    <t>2.7 Project Management</t>
  </si>
  <si>
    <t>2.8 Engineering</t>
  </si>
  <si>
    <t>Total Financial Security (Including Contingency Allowance)</t>
  </si>
  <si>
    <t>Geo-technical; Annual Inspections 2025-2030</t>
  </si>
  <si>
    <t>STF soil turning &amp; removals (D. Lindsay 241025)</t>
  </si>
  <si>
    <t>Facility Closure (2000m3 capacity facility)</t>
  </si>
  <si>
    <t>SJC estimate, based on other northern projects</t>
  </si>
  <si>
    <t>BSGC provided cost for 2022, added 4% inflation to 2024</t>
  </si>
  <si>
    <t>BSGC provided cost for 2022, received in drums, added 4% inflation to 2024</t>
  </si>
  <si>
    <t>BSGC provided cost for 2022, incl seasonal opening and closure, added 4% inflation to 2024</t>
  </si>
  <si>
    <t>BSGC provided cost for 2022, 3 hour minimum, added 4% inflation to 2024</t>
  </si>
  <si>
    <t>Round trip from Yellowknife, cost provided by BSGC 2022, inflated by 4% to 2024</t>
  </si>
  <si>
    <t>SRK estimate 2020 for BSGC, added inflation to 2024</t>
  </si>
  <si>
    <t>For data management and QA/QC, BSGC provided cost for 2022, inlfated by 4% for 2024</t>
  </si>
  <si>
    <t>SRK estimate 2020 for onsite eqpmnt for BSGC, adjusted to 2024 and with revised fuel cost</t>
  </si>
  <si>
    <t>BSGC 2021 (App. C by SRK 2020), added inflation to 2024</t>
  </si>
  <si>
    <t>(E-mailed estimate from D. Lindsay-BSGC 241025)</t>
  </si>
  <si>
    <t xml:space="preserve">    Soil Treatment Facility liner (2262 m2) for smaller facility</t>
  </si>
  <si>
    <t>SJC estimate, assuming 5 drums per year over the next 2 years</t>
  </si>
  <si>
    <t>Vent Raise (no replacement required for ICRP costing)</t>
  </si>
  <si>
    <t>Portal Barrier (no replacement required for ICRP costing)</t>
  </si>
  <si>
    <t>Routine Environmental Monitoring (6 years)</t>
  </si>
  <si>
    <t>Geotechnical Assessment *</t>
  </si>
  <si>
    <t>Baseline Environmental Monitoring Program for 2025 (excl Costs Covered in G&amp;A)</t>
  </si>
  <si>
    <t>BSGC provided estimated provision for 2022, added 2 yrs inflation at 4%/yr</t>
  </si>
  <si>
    <t>BSGC provided average unit cost for 2022 (from KBL), added 2 yrs inflation at 4%/yr</t>
  </si>
  <si>
    <t>BSGC provided unit cost for 2022, delivered in drums, added 2 yrs inflation at 4%/yr</t>
  </si>
  <si>
    <t>Inflation Rate:</t>
  </si>
  <si>
    <t>* $10,500/mo &amp; 3mos/yr site presence estimates provided by D. Lindsay-BSGC 241025</t>
  </si>
  <si>
    <t xml:space="preserve">    Tilling/turning  of material &amp; gradual removal (over 4 years)</t>
  </si>
  <si>
    <t>Construction Monitoring</t>
  </si>
  <si>
    <t xml:space="preserve">    SRK Engineer</t>
  </si>
  <si>
    <t xml:space="preserve">    Decontamination of limited materials remaining on site</t>
  </si>
  <si>
    <t>Placement &amp; spreading of additional materials (final) in landfill</t>
  </si>
  <si>
    <t>Camp seasonal open &amp; close</t>
  </si>
  <si>
    <t>Camp Seasonal Open &amp; Close (Both)</t>
  </si>
  <si>
    <t>Camp Accommodations for Enviro &amp; Reclamation</t>
  </si>
  <si>
    <t>Man-days Reqd</t>
  </si>
  <si>
    <t># Flights</t>
  </si>
  <si>
    <t xml:space="preserve">    All-in cost for smaller facility</t>
  </si>
  <si>
    <t>L.S.</t>
  </si>
  <si>
    <t>Final grading of facility covers</t>
  </si>
  <si>
    <t>1.6 Mine Workings</t>
  </si>
  <si>
    <t>1.7 Hazardous Materials Management</t>
  </si>
  <si>
    <t>1.8 Borrow and Quarry</t>
  </si>
  <si>
    <t>1.9 Construction Material Transport to Site</t>
  </si>
  <si>
    <t>SJC estimate</t>
  </si>
  <si>
    <t>Assume 0.5m thickness</t>
  </si>
  <si>
    <t>Annual Cost in 2024</t>
  </si>
  <si>
    <t>2024 Cost per Round Trip</t>
  </si>
  <si>
    <t>Cost per Man-Day in 2024</t>
  </si>
  <si>
    <t>Per man-day cost based on current estimate of $200,000/mo for running a 40 person camp ( D. Lindsay email of 241025)</t>
  </si>
  <si>
    <t>2024 Cost *</t>
  </si>
  <si>
    <t>* 2024 Annual geotechnical assessment cost estimate provided by D. Lindsay-BSGC 2241025</t>
  </si>
  <si>
    <t>2024 Cost</t>
  </si>
  <si>
    <t>Prepare updated final plans for a smaller (2000m3) facility &amp; construction monitoring</t>
  </si>
  <si>
    <t xml:space="preserve">    Load/haul/dump candidate material into STF facility</t>
  </si>
  <si>
    <t>1.4 Surface Ore Management (500m2 test plot area atop previous Ore Pad)</t>
  </si>
  <si>
    <t>Portal Waste Rock Impoundment</t>
  </si>
  <si>
    <t>1.5 Portal Waste Rock Impoundment (Previous Portal Retention Pond (20m x 30m))</t>
  </si>
  <si>
    <t>Assume materials for impoundment have already been placed during current site activities &amp; no new base liner is required</t>
  </si>
  <si>
    <t>SJC estimate of impounded PAG material's current footprint in test plot. Additional materials continue to be added to ore pad area to be in Final A&amp;R Plan</t>
  </si>
  <si>
    <t xml:space="preserve">    Mine portal sump cover liner (1250 m2)</t>
  </si>
  <si>
    <t>Estimated Enviro&amp;Reclamation workforce per 90 Day Annual Site Work Season</t>
  </si>
  <si>
    <t>Environmental WQ Monitoring</t>
  </si>
  <si>
    <t>yr1</t>
  </si>
  <si>
    <t>yr2</t>
  </si>
  <si>
    <t>yr3</t>
  </si>
  <si>
    <t>yr4</t>
  </si>
  <si>
    <t>From RECLAIM 7 costing program (Brodie 2017) for 3m high wooden buildings. Used 50% of stated unit rate for simpler &amp; lower height Ulu camp structures. Assume no asbestos in building walls.</t>
  </si>
  <si>
    <t>1.3 Soil Treatment Facility (Original full-size (4000m3) facility From SRK, App. C of BSGC 2021)</t>
  </si>
  <si>
    <t>Reduced from original design by 1/2</t>
  </si>
  <si>
    <t>Flights for Reclamtn Freight (Dash 7)</t>
  </si>
  <si>
    <t>Provision for early construction of engineered PAG facility  atop Ore Pad</t>
  </si>
  <si>
    <t>Provisional estimate only. To be revised within 2 years with updated ICRP and MLARD Management Plan in hand.</t>
  </si>
  <si>
    <t>Other Freight</t>
  </si>
  <si>
    <t xml:space="preserve">     Air freight of misc. equipment to undertake reclamation (from Table, below)</t>
  </si>
  <si>
    <t>SJCI estimate from 2021 quotation, added inflation to 2024</t>
  </si>
  <si>
    <t>E-mailed estimate from D. Lindsay-BSGC 241025</t>
  </si>
  <si>
    <t xml:space="preserve">Not required by either the NWB Water License or the KIA Land Use License or Lease Agreement </t>
  </si>
  <si>
    <t>Geo-technical &amp; metal uptake (from Table 3.2)</t>
  </si>
  <si>
    <t xml:space="preserve">Assuming 10% of orignal volume remaining to be placed </t>
  </si>
  <si>
    <t>Assuming minor perimeter trenching will be required in the future, as flow channels are discovered. Assumes no pumping is required.</t>
  </si>
  <si>
    <t>Load/haul/dump used liner into landfill &lt;1km</t>
  </si>
  <si>
    <t>per. sq.m</t>
  </si>
  <si>
    <t>#mos/yr</t>
  </si>
  <si>
    <t>Total Camp Cost Per Year</t>
  </si>
  <si>
    <t xml:space="preserve">2024 Monthly Total Camp Cost </t>
  </si>
  <si>
    <t>Monthly cost determined in consultation with D. Lindsay-BSGC &amp; D. Godley-SRK 241113 with 4% annual inflation added</t>
  </si>
  <si>
    <t>Original 4,570m3 volume estimate from SRK 2020 for all structures, based on drone photgraphy. Additional structures and temporary camp buildings have been added since then. Overall, reduced the footprint area of buildings by 90% with removal of Shop Building in 2024.</t>
  </si>
  <si>
    <t xml:space="preserve">Interim cover volume reported as 3,700m3 (BSGC 2022). Anticipate minor peeling of cover to enable final placement of materials </t>
  </si>
  <si>
    <t>Estimate provided by D. Lindsay 241025</t>
  </si>
  <si>
    <t>E-mailed estimate for #units &amp; unit cost from D. Lindsay-BSGC 241025</t>
  </si>
  <si>
    <t>Both items are to be dealt with in Final A&amp;R Plan</t>
  </si>
  <si>
    <t xml:space="preserve">Assuming 10% of original volume remaining to be placed </t>
  </si>
  <si>
    <t xml:space="preserve">Assuming 5% of original volume remaining to be placed </t>
  </si>
  <si>
    <t>Using original SRK volume estimate (Apr 2020)</t>
  </si>
  <si>
    <t>To be addressed as part of updated ICRP with ML/ARD Management Plan in hand</t>
  </si>
  <si>
    <t xml:space="preserve">Demolition (unit rate from RECLAIM 7.0 for wooden buildings, used 50% of rate due to sprung structures (to be re-used) &amp; ATCO trailers) </t>
  </si>
  <si>
    <t>Reduced from original volume estimate by 1/2. Assume longer haul distance due to uncertainty of final STF location, thus higher Unit Rate.</t>
  </si>
  <si>
    <t xml:space="preserve">   ML/ARD Support ( site visits, lab testing qa/qc, reporting)</t>
  </si>
  <si>
    <t>Annual cost estimate provided by D. Lindsay-BSGC 241025</t>
  </si>
  <si>
    <t xml:space="preserve">2000 m3 capacity estimate provided by D. Lindsay 241025, $10K vost estimate profided by D. Godley-SRK </t>
  </si>
  <si>
    <t xml:space="preserve">estimate provided by D. Lindsay 241025, but indluded in 5% Engineering cost in </t>
  </si>
  <si>
    <t xml:space="preserve">    PHC contamination testing to confirm what goes where</t>
  </si>
  <si>
    <t>Seasonal Mob &amp; Demob</t>
  </si>
  <si>
    <t>Total Camp Operations Cost with 15% for Enviro/Reclamation (from Table below)</t>
  </si>
  <si>
    <t>15% of total seasonal opening and closing cost of $39200 ( per year) , D. Lindsay e-mail of Oct 30, 2024</t>
  </si>
  <si>
    <t>E-mailed estimate from D. Lindsay-BSGC 241030. 15% allocation of total cost to Environment/Reclamation.</t>
  </si>
  <si>
    <t>Engineering requirements including Construction Monitoring of Landfill &amp; STF and includes survey control of both, but excludes design of smaller STF.</t>
  </si>
  <si>
    <t>Includes corporate oversight and site supervision</t>
  </si>
  <si>
    <t>Estimate of 1/2 load of a Dash 7 aircraft return flight per year 2025-2029, excludes STF liner material flown in by C-46 (costed above).</t>
  </si>
  <si>
    <t>Not included here as it is considered part of site-wide ML/ARD Management Plan project, pending.</t>
  </si>
  <si>
    <t xml:space="preserve">         Mob/Demob &amp; Camp (5 years)</t>
  </si>
  <si>
    <t>Environmental Monitoring &amp; Reporting (5 years)</t>
  </si>
  <si>
    <t>PHC Contaminated Soil Testing (material below old Shop Building floor)</t>
  </si>
  <si>
    <t xml:space="preserve">   Backhoe work</t>
  </si>
  <si>
    <t xml:space="preserve">   PHC contamination sampling &amp; analyses</t>
  </si>
  <si>
    <t>SJC estimate of volume to be removed</t>
  </si>
  <si>
    <t xml:space="preserve">    Sorting of stockpiled PHC contaminated materials</t>
  </si>
  <si>
    <t>Assumes a significant portionof material has already been tested</t>
  </si>
  <si>
    <t>* Above All-found costs include on-going routine maintenance</t>
  </si>
  <si>
    <t>Overall environmental monitoring cost for compliance WQ sampling &amp; analyses (3/yr) &amp; reporting program (Sec. 5.5.2 in SJC report); undertaken by BlueStar staff person</t>
  </si>
  <si>
    <t>Summary Table of Estimated Interim Closure Costs - Ulu Mine</t>
  </si>
  <si>
    <r>
      <t xml:space="preserve">      Mitigative Contingency for Major Equipment Rebuilds    </t>
    </r>
    <r>
      <rPr>
        <b/>
        <sz val="10"/>
        <rFont val="Calibri"/>
        <family val="2"/>
        <scheme val="minor"/>
      </rPr>
      <t>*</t>
    </r>
  </si>
  <si>
    <t>SJC  March 2025</t>
  </si>
  <si>
    <t>SJC March 2025</t>
  </si>
  <si>
    <t xml:space="preserve">    * Note: to be read along with Section 5.6 of accompanying SJC report</t>
  </si>
  <si>
    <t>E-mailed estimate of $150K from D. Lindsay-BSGC 241025, adjusted to $100K after Jan20, 2025 meeting between parties</t>
  </si>
  <si>
    <t xml:space="preserve">      Provision for Engineered PAG Storage Facility atop Ore Pad </t>
  </si>
  <si>
    <t xml:space="preserve">    Development of  ML/ARD Management Plan    !!</t>
  </si>
  <si>
    <r>
      <t xml:space="preserve">Waste Rock ML/ARD Investigations  </t>
    </r>
    <r>
      <rPr>
        <b/>
        <sz val="10"/>
        <rFont val="Calibri"/>
        <family val="2"/>
        <scheme val="minor"/>
      </rPr>
      <t>!!</t>
    </r>
  </si>
  <si>
    <r>
      <t xml:space="preserve">    </t>
    </r>
    <r>
      <rPr>
        <b/>
        <sz val="9"/>
        <rFont val="Calibri"/>
        <family val="2"/>
        <scheme val="minor"/>
      </rPr>
      <t>!!</t>
    </r>
    <r>
      <rPr>
        <sz val="9"/>
        <rFont val="Calibri"/>
        <family val="2"/>
        <scheme val="minor"/>
      </rPr>
      <t xml:space="preserve"> Note: to be read along with Section 5.5.3 of accompanying SJC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</si>
</sst>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44" formatCode="_-&quot;$&quot;* #,##0.00_-;\-&quot;$&quot;* #,##0.00_-;_-&quot;$&quot;* &quot;-&quot;??_-;_-@_-"/>
    <numFmt numFmtId="43" formatCode="_-* #,##0.00_-;\-* #,##0.00_-;_-* &quot;-&quot;??_-;_-@_-"/>
    <numFmt numFmtId="164" formatCode="&quot;$&quot;#,##0_);[Red]\(&quot;$&quot;#,##0\)"/>
    <numFmt numFmtId="165" formatCode="_(&quot;$&quot;* #,##0.00_);_(&quot;$&quot;* \(#,##0.00\);_(&quot;$&quot;* &quot;-&quot;??_);_(@_)"/>
    <numFmt numFmtId="166" formatCode="_(* #,##0.00_);_(* \(#,##0.00\);_(* &quot;-&quot;??_);_(@_)"/>
    <numFmt numFmtId="167" formatCode="0.0"/>
    <numFmt numFmtId="168" formatCode="&quot;$&quot;#,##0"/>
    <numFmt numFmtId="169" formatCode="&quot;$&quot;#,##0.00"/>
    <numFmt numFmtId="170" formatCode="_(&quot;$&quot;* #,##0_);_(&quot;$&quot;* \(#,##0\);_(&quot;$&quot;* &quot;-&quot;??_);_(@_)"/>
    <numFmt numFmtId="171" formatCode="_(* #,##0.0_);_(* \(#,##0.0\);_(* &quot;-&quot;??_);_(@_)"/>
    <numFmt numFmtId="172" formatCode="_(* #,##0_);_(* \(#,##0\);_(* &quot;-&quot;??_);_(@_)"/>
    <numFmt numFmtId="173" formatCode="0.000%"/>
  </numFmts>
  <fonts count="21" x14ac:knownFonts="1">
    <font>
      <sz val="10"/>
      <name val="Arial"/>
    </font>
    <font>
      <sz val="11"/>
      <color theme="1"/>
      <name val="Calibri"/>
      <family val="2"/>
      <scheme val="minor"/>
    </font>
    <font>
      <sz val="10"/>
      <name val="Arial"/>
      <family val="2"/>
    </font>
    <font>
      <b/>
      <sz val="10"/>
      <name val="Arial"/>
      <family val="2"/>
    </font>
    <font>
      <b/>
      <sz val="12"/>
      <name val="Arial"/>
      <family val="2"/>
    </font>
    <font>
      <sz val="12"/>
      <name val="Arial"/>
      <family val="2"/>
    </font>
    <font>
      <b/>
      <sz val="14"/>
      <name val="Arial"/>
      <family val="2"/>
    </font>
    <font>
      <sz val="10"/>
      <name val="Arial"/>
      <family val="2"/>
    </font>
    <font>
      <b/>
      <i/>
      <sz val="14"/>
      <name val="Arial"/>
      <family val="2"/>
    </font>
    <font>
      <sz val="10"/>
      <name val="Arial"/>
      <family val="2"/>
    </font>
    <font>
      <sz val="9"/>
      <color rgb="FFFF0000"/>
      <name val="Arial"/>
      <family val="2"/>
    </font>
    <font>
      <sz val="11"/>
      <name val="Arial"/>
      <family val="2"/>
    </font>
    <font>
      <sz val="10"/>
      <name val="Calibri"/>
      <family val="2"/>
      <scheme val="minor"/>
    </font>
    <font>
      <b/>
      <sz val="10"/>
      <name val="Calibri"/>
      <family val="2"/>
      <scheme val="minor"/>
    </font>
    <font>
      <sz val="10"/>
      <color rgb="FFFF0000"/>
      <name val="Calibri"/>
      <family val="2"/>
      <scheme val="minor"/>
    </font>
    <font>
      <b/>
      <i/>
      <sz val="10"/>
      <name val="Calibri"/>
      <family val="2"/>
      <scheme val="minor"/>
    </font>
    <font>
      <sz val="10"/>
      <color rgb="FF000000"/>
      <name val="Times New Roman"/>
      <family val="1"/>
    </font>
    <font>
      <b/>
      <sz val="12"/>
      <name val="Calibri"/>
      <family val="2"/>
      <scheme val="minor"/>
    </font>
    <font>
      <i/>
      <sz val="10"/>
      <name val="Calibri"/>
      <family val="2"/>
      <scheme val="minor"/>
    </font>
    <font>
      <sz val="9"/>
      <name val="Calibri"/>
      <family val="2"/>
      <scheme val="minor"/>
    </font>
    <font>
      <b/>
      <sz val="9"/>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s>
  <borders count="87">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style="hair">
        <color indexed="64"/>
      </top>
      <bottom style="thin">
        <color indexed="64"/>
      </bottom>
      <diagonal/>
    </border>
    <border>
      <left/>
      <right style="thin">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style="thin">
        <color indexed="64"/>
      </left>
      <right/>
      <top/>
      <bottom style="hair">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style="hair">
        <color indexed="64"/>
      </bottom>
      <diagonal/>
    </border>
    <border>
      <left style="medium">
        <color indexed="64"/>
      </left>
      <right/>
      <top style="medium">
        <color indexed="64"/>
      </top>
      <bottom/>
      <diagonal/>
    </border>
    <border>
      <left/>
      <right/>
      <top style="hair">
        <color indexed="64"/>
      </top>
      <bottom/>
      <diagonal/>
    </border>
    <border>
      <left/>
      <right style="thin">
        <color indexed="64"/>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s>
  <cellStyleXfs count="18">
    <xf numFmtId="0" fontId="0" fillId="0" borderId="0"/>
    <xf numFmtId="166" fontId="2" fillId="0" borderId="0" applyFont="0" applyFill="0" applyBorder="0" applyAlignment="0" applyProtection="0"/>
    <xf numFmtId="165" fontId="2" fillId="0" borderId="0" applyFont="0" applyFill="0" applyBorder="0" applyAlignment="0" applyProtection="0"/>
    <xf numFmtId="0" fontId="7" fillId="0" borderId="0"/>
    <xf numFmtId="0" fontId="2" fillId="0" borderId="0"/>
    <xf numFmtId="9" fontId="2" fillId="0" borderId="0" applyFont="0" applyFill="0" applyBorder="0" applyAlignment="0" applyProtection="0"/>
    <xf numFmtId="0" fontId="9" fillId="0" borderId="0"/>
    <xf numFmtId="9" fontId="2" fillId="0" borderId="0" applyFont="0" applyFill="0" applyBorder="0" applyAlignment="0" applyProtection="0"/>
    <xf numFmtId="0" fontId="1" fillId="0" borderId="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cellStyleXfs>
  <cellXfs count="449">
    <xf numFmtId="0" fontId="0" fillId="0" borderId="0" xfId="0"/>
    <xf numFmtId="0" fontId="0" fillId="0" borderId="0" xfId="0" applyAlignment="1">
      <alignment horizontal="center"/>
    </xf>
    <xf numFmtId="0" fontId="3" fillId="0" borderId="0" xfId="0" applyFont="1"/>
    <xf numFmtId="168" fontId="0" fillId="0" borderId="0" xfId="0" applyNumberFormat="1"/>
    <xf numFmtId="171" fontId="5" fillId="0" borderId="0" xfId="1" applyNumberFormat="1" applyFont="1" applyAlignment="1">
      <alignment horizontal="right"/>
    </xf>
    <xf numFmtId="0" fontId="5" fillId="0" borderId="0" xfId="0" applyFont="1"/>
    <xf numFmtId="0" fontId="2" fillId="0" borderId="0" xfId="0" applyFont="1"/>
    <xf numFmtId="0" fontId="2" fillId="0" borderId="2" xfId="0" applyFont="1" applyBorder="1"/>
    <xf numFmtId="0" fontId="2" fillId="0" borderId="2" xfId="0" applyFont="1" applyBorder="1" applyAlignment="1">
      <alignment horizontal="center"/>
    </xf>
    <xf numFmtId="168" fontId="2" fillId="0" borderId="0" xfId="0" applyNumberFormat="1" applyFont="1"/>
    <xf numFmtId="171" fontId="4" fillId="0" borderId="0" xfId="1" applyNumberFormat="1" applyFont="1" applyFill="1" applyBorder="1" applyAlignment="1">
      <alignment vertical="top"/>
    </xf>
    <xf numFmtId="171" fontId="5" fillId="0" borderId="0" xfId="1" applyNumberFormat="1" applyFont="1" applyFill="1" applyBorder="1" applyAlignment="1">
      <alignment vertical="top" wrapText="1"/>
    </xf>
    <xf numFmtId="171" fontId="5" fillId="0" borderId="0" xfId="1" applyNumberFormat="1" applyFont="1" applyAlignment="1"/>
    <xf numFmtId="171" fontId="2" fillId="0" borderId="0" xfId="1" applyNumberFormat="1" applyFont="1" applyBorder="1" applyAlignment="1">
      <alignment horizontal="right"/>
    </xf>
    <xf numFmtId="0" fontId="2" fillId="0" borderId="0" xfId="0" applyFont="1" applyAlignment="1">
      <alignment horizontal="center"/>
    </xf>
    <xf numFmtId="4" fontId="2" fillId="0" borderId="0" xfId="0" applyNumberFormat="1" applyFont="1"/>
    <xf numFmtId="171" fontId="5" fillId="0" borderId="0" xfId="1" applyNumberFormat="1" applyFont="1" applyAlignment="1">
      <alignment horizontal="left"/>
    </xf>
    <xf numFmtId="0" fontId="0" fillId="0" borderId="0" xfId="0" applyAlignment="1">
      <alignment horizontal="left"/>
    </xf>
    <xf numFmtId="171" fontId="3" fillId="0" borderId="0" xfId="1" quotePrefix="1" applyNumberFormat="1" applyFont="1" applyBorder="1" applyAlignment="1">
      <alignment horizontal="left"/>
    </xf>
    <xf numFmtId="0" fontId="3" fillId="0" borderId="0" xfId="0" quotePrefix="1" applyFont="1" applyAlignment="1">
      <alignment horizontal="center"/>
    </xf>
    <xf numFmtId="168" fontId="2" fillId="0" borderId="0" xfId="0" applyNumberFormat="1" applyFont="1" applyAlignment="1">
      <alignment vertical="center"/>
    </xf>
    <xf numFmtId="168" fontId="2" fillId="0" borderId="0" xfId="0" applyNumberFormat="1" applyFont="1" applyAlignment="1">
      <alignment horizontal="center"/>
    </xf>
    <xf numFmtId="0" fontId="2" fillId="0" borderId="0" xfId="0" applyFont="1" applyAlignment="1">
      <alignment vertical="center"/>
    </xf>
    <xf numFmtId="171" fontId="5" fillId="0" borderId="0" xfId="1" applyNumberFormat="1" applyFont="1" applyBorder="1" applyAlignment="1">
      <alignment horizontal="right"/>
    </xf>
    <xf numFmtId="0" fontId="3" fillId="0" borderId="0" xfId="0" applyFont="1" applyAlignment="1">
      <alignment horizontal="center"/>
    </xf>
    <xf numFmtId="10" fontId="3" fillId="0" borderId="0" xfId="1" applyNumberFormat="1" applyFont="1" applyBorder="1" applyAlignment="1">
      <alignment horizontal="center"/>
    </xf>
    <xf numFmtId="168" fontId="3" fillId="0" borderId="0" xfId="0" applyNumberFormat="1" applyFont="1"/>
    <xf numFmtId="169" fontId="2" fillId="0" borderId="0" xfId="0" applyNumberFormat="1" applyFont="1" applyAlignment="1">
      <alignment horizontal="center"/>
    </xf>
    <xf numFmtId="4" fontId="2" fillId="0" borderId="0" xfId="0" applyNumberFormat="1" applyFont="1" applyAlignment="1">
      <alignment vertical="center"/>
    </xf>
    <xf numFmtId="4" fontId="3" fillId="0" borderId="0" xfId="0" applyNumberFormat="1" applyFont="1"/>
    <xf numFmtId="172" fontId="2" fillId="0" borderId="0" xfId="1" applyNumberFormat="1" applyFont="1" applyBorder="1" applyAlignment="1">
      <alignment horizontal="center"/>
    </xf>
    <xf numFmtId="0" fontId="2" fillId="0" borderId="0" xfId="0" applyFont="1" applyAlignment="1">
      <alignment horizontal="left"/>
    </xf>
    <xf numFmtId="0" fontId="3" fillId="0" borderId="2" xfId="0" applyFont="1" applyBorder="1" applyAlignment="1">
      <alignment horizontal="left"/>
    </xf>
    <xf numFmtId="0" fontId="3" fillId="0" borderId="2" xfId="0" applyFont="1" applyBorder="1"/>
    <xf numFmtId="0" fontId="2" fillId="0" borderId="2" xfId="0" applyFont="1" applyBorder="1" applyAlignment="1">
      <alignment horizontal="left"/>
    </xf>
    <xf numFmtId="172" fontId="2" fillId="0" borderId="0" xfId="1" applyNumberFormat="1" applyFont="1"/>
    <xf numFmtId="172" fontId="2" fillId="0" borderId="0" xfId="1" applyNumberFormat="1" applyFont="1" applyAlignment="1"/>
    <xf numFmtId="0" fontId="2" fillId="0" borderId="2" xfId="0" applyFont="1" applyBorder="1" applyAlignment="1">
      <alignment vertical="center"/>
    </xf>
    <xf numFmtId="0" fontId="0" fillId="0" borderId="0" xfId="0" applyAlignment="1">
      <alignment vertical="center"/>
    </xf>
    <xf numFmtId="0" fontId="10" fillId="0" borderId="0" xfId="0" applyFont="1"/>
    <xf numFmtId="0" fontId="10" fillId="0" borderId="0" xfId="0" quotePrefix="1" applyFont="1"/>
    <xf numFmtId="0" fontId="2" fillId="0" borderId="0" xfId="0" applyFont="1" applyAlignment="1">
      <alignment horizontal="right"/>
    </xf>
    <xf numFmtId="0" fontId="2" fillId="0" borderId="2" xfId="0" applyFont="1" applyBorder="1" applyAlignment="1">
      <alignment horizontal="centerContinuous"/>
    </xf>
    <xf numFmtId="0" fontId="11" fillId="0" borderId="0" xfId="0" applyFont="1" applyAlignment="1">
      <alignment vertical="center"/>
    </xf>
    <xf numFmtId="0" fontId="5" fillId="0" borderId="0" xfId="0" applyFont="1" applyAlignment="1">
      <alignment vertical="center"/>
    </xf>
    <xf numFmtId="0" fontId="12" fillId="0" borderId="10" xfId="0" applyFont="1" applyBorder="1" applyAlignment="1">
      <alignment horizontal="center"/>
    </xf>
    <xf numFmtId="170" fontId="12" fillId="0" borderId="3" xfId="2" applyNumberFormat="1" applyFont="1" applyFill="1" applyBorder="1" applyAlignment="1">
      <alignment horizontal="center"/>
    </xf>
    <xf numFmtId="0" fontId="12" fillId="0" borderId="0" xfId="0" applyFont="1"/>
    <xf numFmtId="0" fontId="12" fillId="0" borderId="33" xfId="0" applyFont="1" applyBorder="1" applyAlignment="1">
      <alignment horizontal="left" indent="2"/>
    </xf>
    <xf numFmtId="0" fontId="13" fillId="3" borderId="18"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0" borderId="18" xfId="0" applyFont="1" applyBorder="1" applyAlignment="1">
      <alignment horizontal="center" vertical="center"/>
    </xf>
    <xf numFmtId="0" fontId="13" fillId="0" borderId="16" xfId="0" applyFont="1" applyBorder="1" applyAlignment="1">
      <alignment horizontal="center" vertical="center"/>
    </xf>
    <xf numFmtId="0" fontId="13" fillId="0" borderId="19" xfId="0" applyFont="1" applyBorder="1" applyAlignment="1">
      <alignment horizontal="center" vertical="center"/>
    </xf>
    <xf numFmtId="0" fontId="12" fillId="0" borderId="37" xfId="0" applyFont="1" applyBorder="1"/>
    <xf numFmtId="0" fontId="12" fillId="0" borderId="53" xfId="0" applyFont="1" applyBorder="1" applyAlignment="1">
      <alignment horizontal="center"/>
    </xf>
    <xf numFmtId="0" fontId="12" fillId="0" borderId="33" xfId="0" applyFont="1" applyBorder="1"/>
    <xf numFmtId="168" fontId="12" fillId="0" borderId="2" xfId="0" applyNumberFormat="1" applyFont="1" applyBorder="1" applyAlignment="1">
      <alignment horizontal="center"/>
    </xf>
    <xf numFmtId="0" fontId="12" fillId="0" borderId="3" xfId="0" applyFont="1" applyBorder="1" applyAlignment="1">
      <alignment horizontal="center"/>
    </xf>
    <xf numFmtId="0" fontId="12" fillId="0" borderId="41" xfId="0" applyFont="1" applyBorder="1"/>
    <xf numFmtId="0" fontId="12" fillId="0" borderId="20" xfId="0" applyFont="1" applyBorder="1"/>
    <xf numFmtId="168" fontId="12" fillId="0" borderId="21" xfId="0" applyNumberFormat="1" applyFont="1" applyBorder="1" applyAlignment="1">
      <alignment horizontal="center"/>
    </xf>
    <xf numFmtId="168" fontId="12" fillId="0" borderId="49" xfId="2" applyNumberFormat="1" applyFont="1" applyFill="1" applyBorder="1" applyAlignment="1">
      <alignment horizontal="center"/>
    </xf>
    <xf numFmtId="0" fontId="13" fillId="0" borderId="18" xfId="0" applyFont="1" applyBorder="1" applyAlignment="1">
      <alignment horizontal="center"/>
    </xf>
    <xf numFmtId="168" fontId="12" fillId="0" borderId="5" xfId="0" applyNumberFormat="1" applyFont="1" applyBorder="1" applyAlignment="1">
      <alignment horizontal="center"/>
    </xf>
    <xf numFmtId="0" fontId="12" fillId="0" borderId="36" xfId="0" applyFont="1" applyBorder="1"/>
    <xf numFmtId="0" fontId="12" fillId="0" borderId="23" xfId="0" applyFont="1" applyBorder="1"/>
    <xf numFmtId="168" fontId="12" fillId="0" borderId="44" xfId="2" applyNumberFormat="1" applyFont="1" applyFill="1" applyBorder="1" applyAlignment="1">
      <alignment horizontal="center"/>
    </xf>
    <xf numFmtId="0" fontId="12" fillId="0" borderId="44" xfId="0" applyFont="1" applyBorder="1" applyAlignment="1">
      <alignment horizontal="center"/>
    </xf>
    <xf numFmtId="0" fontId="12" fillId="0" borderId="7" xfId="0" applyFont="1" applyBorder="1"/>
    <xf numFmtId="0" fontId="12" fillId="0" borderId="34" xfId="0" applyFont="1" applyBorder="1"/>
    <xf numFmtId="169" fontId="12" fillId="0" borderId="47" xfId="0" applyNumberFormat="1" applyFont="1" applyBorder="1"/>
    <xf numFmtId="0" fontId="12" fillId="0" borderId="54" xfId="0" applyFont="1" applyBorder="1"/>
    <xf numFmtId="0" fontId="12" fillId="0" borderId="6" xfId="0" applyFont="1" applyBorder="1" applyAlignment="1">
      <alignment horizontal="center"/>
    </xf>
    <xf numFmtId="0" fontId="13" fillId="0" borderId="45" xfId="0" quotePrefix="1" applyFont="1" applyBorder="1" applyAlignment="1">
      <alignment horizontal="center"/>
    </xf>
    <xf numFmtId="0" fontId="13" fillId="0" borderId="52" xfId="0" applyFont="1" applyBorder="1"/>
    <xf numFmtId="0" fontId="13" fillId="0" borderId="59" xfId="0" applyFont="1" applyBorder="1"/>
    <xf numFmtId="172" fontId="13" fillId="0" borderId="59" xfId="1" applyNumberFormat="1" applyFont="1" applyFill="1" applyBorder="1" applyAlignment="1"/>
    <xf numFmtId="0" fontId="13" fillId="0" borderId="50" xfId="0" applyFont="1" applyBorder="1"/>
    <xf numFmtId="0" fontId="12" fillId="0" borderId="31" xfId="0" applyFont="1" applyBorder="1"/>
    <xf numFmtId="0" fontId="12" fillId="0" borderId="10" xfId="0" applyFont="1" applyBorder="1"/>
    <xf numFmtId="172" fontId="12" fillId="0" borderId="10" xfId="1" applyNumberFormat="1" applyFont="1" applyFill="1" applyBorder="1" applyAlignment="1">
      <alignment horizontal="center"/>
    </xf>
    <xf numFmtId="168" fontId="12" fillId="0" borderId="11" xfId="0" applyNumberFormat="1" applyFont="1" applyBorder="1"/>
    <xf numFmtId="168" fontId="12" fillId="0" borderId="28" xfId="0" applyNumberFormat="1" applyFont="1" applyBorder="1"/>
    <xf numFmtId="0" fontId="12" fillId="0" borderId="51" xfId="0" applyFont="1" applyBorder="1"/>
    <xf numFmtId="0" fontId="12" fillId="0" borderId="13" xfId="0" applyFont="1" applyBorder="1" applyAlignment="1">
      <alignment horizontal="center"/>
    </xf>
    <xf numFmtId="172" fontId="12" fillId="0" borderId="13" xfId="1" applyNumberFormat="1" applyFont="1" applyFill="1" applyBorder="1" applyAlignment="1">
      <alignment horizontal="center"/>
    </xf>
    <xf numFmtId="0" fontId="12" fillId="0" borderId="13" xfId="0" applyFont="1" applyBorder="1"/>
    <xf numFmtId="0" fontId="13" fillId="0" borderId="23" xfId="0" applyFont="1" applyBorder="1" applyAlignment="1">
      <alignment horizontal="right"/>
    </xf>
    <xf numFmtId="0" fontId="12" fillId="0" borderId="23" xfId="0" applyFont="1" applyBorder="1" applyAlignment="1">
      <alignment horizontal="center"/>
    </xf>
    <xf numFmtId="172" fontId="12" fillId="0" borderId="23" xfId="1" applyNumberFormat="1" applyFont="1" applyFill="1" applyBorder="1" applyAlignment="1">
      <alignment horizontal="center"/>
    </xf>
    <xf numFmtId="168" fontId="13" fillId="0" borderId="44" xfId="0" applyNumberFormat="1" applyFont="1" applyBorder="1"/>
    <xf numFmtId="0" fontId="13" fillId="0" borderId="22" xfId="0" applyFont="1" applyBorder="1" applyAlignment="1">
      <alignment horizontal="center"/>
    </xf>
    <xf numFmtId="0" fontId="13" fillId="0" borderId="18" xfId="0" applyFont="1" applyBorder="1" applyAlignment="1">
      <alignment vertical="center"/>
    </xf>
    <xf numFmtId="172" fontId="13" fillId="3" borderId="16" xfId="1" applyNumberFormat="1" applyFont="1" applyFill="1" applyBorder="1" applyAlignment="1">
      <alignment horizontal="center" vertical="center" wrapText="1"/>
    </xf>
    <xf numFmtId="0" fontId="13" fillId="2" borderId="52" xfId="0" applyFont="1" applyFill="1" applyBorder="1"/>
    <xf numFmtId="172" fontId="13" fillId="2" borderId="59" xfId="1" applyNumberFormat="1" applyFont="1" applyFill="1" applyBorder="1" applyAlignment="1"/>
    <xf numFmtId="0" fontId="13" fillId="2" borderId="59" xfId="0" applyFont="1" applyFill="1" applyBorder="1"/>
    <xf numFmtId="0" fontId="13" fillId="2" borderId="50" xfId="0" applyFont="1" applyFill="1" applyBorder="1"/>
    <xf numFmtId="172" fontId="12" fillId="0" borderId="55" xfId="1" applyNumberFormat="1" applyFont="1" applyFill="1" applyBorder="1" applyAlignment="1"/>
    <xf numFmtId="172" fontId="12" fillId="0" borderId="10" xfId="1" applyNumberFormat="1" applyFont="1" applyFill="1" applyBorder="1" applyAlignment="1"/>
    <xf numFmtId="169" fontId="12" fillId="0" borderId="55" xfId="0" applyNumberFormat="1" applyFont="1" applyBorder="1" applyAlignment="1">
      <alignment horizontal="right"/>
    </xf>
    <xf numFmtId="172" fontId="12" fillId="0" borderId="0" xfId="1" applyNumberFormat="1" applyFont="1" applyFill="1" applyBorder="1" applyAlignment="1"/>
    <xf numFmtId="0" fontId="12" fillId="0" borderId="55" xfId="0" applyFont="1" applyBorder="1" applyAlignment="1">
      <alignment horizontal="center"/>
    </xf>
    <xf numFmtId="168" fontId="12" fillId="0" borderId="56" xfId="0" applyNumberFormat="1" applyFont="1" applyBorder="1"/>
    <xf numFmtId="10" fontId="12" fillId="0" borderId="13" xfId="1" applyNumberFormat="1" applyFont="1" applyFill="1" applyBorder="1" applyAlignment="1">
      <alignment horizontal="right"/>
    </xf>
    <xf numFmtId="171" fontId="12" fillId="0" borderId="39" xfId="1" applyNumberFormat="1" applyFont="1" applyFill="1" applyBorder="1" applyAlignment="1">
      <alignment horizontal="right"/>
    </xf>
    <xf numFmtId="171" fontId="12" fillId="0" borderId="9" xfId="1" applyNumberFormat="1" applyFont="1" applyFill="1" applyBorder="1" applyAlignment="1">
      <alignment horizontal="right"/>
    </xf>
    <xf numFmtId="168" fontId="12" fillId="0" borderId="0" xfId="0" applyNumberFormat="1" applyFont="1"/>
    <xf numFmtId="171" fontId="13" fillId="0" borderId="0" xfId="1" applyNumberFormat="1" applyFont="1" applyFill="1" applyBorder="1" applyAlignment="1">
      <alignment vertical="top"/>
    </xf>
    <xf numFmtId="172" fontId="13" fillId="0" borderId="0" xfId="1" applyNumberFormat="1" applyFont="1" applyFill="1" applyBorder="1" applyAlignment="1">
      <alignment vertical="top"/>
    </xf>
    <xf numFmtId="171" fontId="12" fillId="0" borderId="0" xfId="1" applyNumberFormat="1" applyFont="1" applyFill="1" applyAlignment="1">
      <alignment horizontal="right"/>
    </xf>
    <xf numFmtId="171" fontId="13" fillId="3" borderId="15" xfId="1" applyNumberFormat="1" applyFont="1" applyFill="1" applyBorder="1" applyAlignment="1">
      <alignment horizontal="center" vertical="center" wrapText="1"/>
    </xf>
    <xf numFmtId="0" fontId="13" fillId="2" borderId="46" xfId="0" quotePrefix="1" applyFont="1" applyFill="1" applyBorder="1" applyAlignment="1">
      <alignment horizontal="center"/>
    </xf>
    <xf numFmtId="171" fontId="12" fillId="0" borderId="36" xfId="1" applyNumberFormat="1" applyFont="1" applyBorder="1" applyAlignment="1">
      <alignment horizontal="right"/>
    </xf>
    <xf numFmtId="0" fontId="13" fillId="0" borderId="46" xfId="0" quotePrefix="1" applyFont="1" applyBorder="1" applyAlignment="1">
      <alignment horizontal="center"/>
    </xf>
    <xf numFmtId="172" fontId="12" fillId="0" borderId="0" xfId="1" applyNumberFormat="1" applyFont="1"/>
    <xf numFmtId="171" fontId="12" fillId="0" borderId="0" xfId="1" applyNumberFormat="1" applyFont="1" applyAlignment="1">
      <alignment horizontal="right"/>
    </xf>
    <xf numFmtId="0" fontId="13" fillId="2" borderId="29" xfId="0" applyFont="1" applyFill="1" applyBorder="1" applyAlignment="1">
      <alignment horizontal="center"/>
    </xf>
    <xf numFmtId="10" fontId="12" fillId="0" borderId="10" xfId="1" applyNumberFormat="1" applyFont="1" applyFill="1" applyBorder="1" applyAlignment="1"/>
    <xf numFmtId="171" fontId="12" fillId="0" borderId="57" xfId="1" applyNumberFormat="1" applyFont="1" applyFill="1" applyBorder="1" applyAlignment="1">
      <alignment horizontal="right"/>
    </xf>
    <xf numFmtId="0" fontId="12" fillId="0" borderId="51" xfId="0" applyFont="1" applyBorder="1" applyAlignment="1">
      <alignment horizontal="center"/>
    </xf>
    <xf numFmtId="168" fontId="12" fillId="0" borderId="55" xfId="0" applyNumberFormat="1" applyFont="1" applyBorder="1"/>
    <xf numFmtId="0" fontId="12" fillId="0" borderId="55" xfId="0" applyFont="1" applyBorder="1"/>
    <xf numFmtId="171" fontId="12" fillId="2" borderId="43" xfId="1" applyNumberFormat="1" applyFont="1" applyFill="1" applyBorder="1" applyAlignment="1">
      <alignment horizontal="right"/>
    </xf>
    <xf numFmtId="0" fontId="13" fillId="0" borderId="52" xfId="0" quotePrefix="1" applyFont="1" applyBorder="1"/>
    <xf numFmtId="171" fontId="12" fillId="0" borderId="12" xfId="1" applyNumberFormat="1" applyFont="1" applyFill="1" applyBorder="1" applyAlignment="1">
      <alignment horizontal="right"/>
    </xf>
    <xf numFmtId="0" fontId="12" fillId="0" borderId="4" xfId="0" applyFont="1" applyBorder="1" applyAlignment="1">
      <alignment horizontal="left"/>
    </xf>
    <xf numFmtId="0" fontId="12" fillId="0" borderId="4" xfId="0" applyFont="1" applyBorder="1" applyAlignment="1">
      <alignment horizontal="center"/>
    </xf>
    <xf numFmtId="0" fontId="12" fillId="0" borderId="4" xfId="0" applyFont="1" applyBorder="1"/>
    <xf numFmtId="171" fontId="12" fillId="0" borderId="0" xfId="1" applyNumberFormat="1" applyFont="1" applyFill="1" applyBorder="1" applyAlignment="1">
      <alignment vertical="top" wrapText="1"/>
    </xf>
    <xf numFmtId="0" fontId="13" fillId="0" borderId="41" xfId="0" applyFont="1" applyBorder="1" applyAlignment="1">
      <alignment horizontal="left" vertical="center"/>
    </xf>
    <xf numFmtId="171" fontId="13" fillId="0" borderId="22" xfId="1" applyNumberFormat="1" applyFont="1" applyFill="1" applyBorder="1" applyAlignment="1">
      <alignment vertical="top"/>
    </xf>
    <xf numFmtId="172" fontId="13" fillId="0" borderId="22" xfId="1" applyNumberFormat="1" applyFont="1" applyFill="1" applyBorder="1" applyAlignment="1">
      <alignment vertical="top"/>
    </xf>
    <xf numFmtId="172" fontId="12" fillId="0" borderId="55" xfId="1" applyNumberFormat="1" applyFont="1" applyFill="1" applyBorder="1" applyAlignment="1">
      <alignment horizontal="center"/>
    </xf>
    <xf numFmtId="0" fontId="13" fillId="0" borderId="48" xfId="0" quotePrefix="1" applyFont="1" applyBorder="1" applyAlignment="1">
      <alignment horizontal="center"/>
    </xf>
    <xf numFmtId="172" fontId="12" fillId="0" borderId="10" xfId="1" applyNumberFormat="1" applyFont="1"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2" fillId="0" borderId="2" xfId="0" applyFont="1" applyBorder="1" applyAlignment="1">
      <alignment horizontal="left" vertical="center"/>
    </xf>
    <xf numFmtId="0" fontId="0" fillId="0" borderId="0" xfId="0" quotePrefix="1" applyAlignment="1">
      <alignment vertical="center"/>
    </xf>
    <xf numFmtId="167" fontId="13" fillId="0" borderId="29" xfId="0" quotePrefix="1" applyNumberFormat="1" applyFont="1" applyBorder="1" applyAlignment="1">
      <alignment horizontal="center"/>
    </xf>
    <xf numFmtId="167" fontId="13" fillId="0" borderId="29" xfId="0" applyNumberFormat="1" applyFont="1" applyBorder="1" applyAlignment="1">
      <alignment horizontal="center"/>
    </xf>
    <xf numFmtId="0" fontId="12" fillId="0" borderId="2" xfId="0" applyFont="1" applyBorder="1"/>
    <xf numFmtId="172" fontId="12" fillId="0" borderId="0" xfId="1" applyNumberFormat="1" applyFont="1" applyFill="1"/>
    <xf numFmtId="0" fontId="12" fillId="0" borderId="31" xfId="4" applyFont="1" applyBorder="1" applyAlignment="1">
      <alignment vertical="center" wrapText="1"/>
    </xf>
    <xf numFmtId="0" fontId="12" fillId="0" borderId="10" xfId="4" applyFont="1" applyBorder="1" applyAlignment="1">
      <alignment horizontal="center" vertical="center"/>
    </xf>
    <xf numFmtId="0" fontId="12" fillId="0" borderId="43" xfId="0" applyFont="1" applyBorder="1"/>
    <xf numFmtId="3" fontId="13" fillId="0" borderId="59" xfId="0" applyNumberFormat="1" applyFont="1" applyBorder="1" applyAlignment="1">
      <alignment horizontal="right"/>
    </xf>
    <xf numFmtId="0" fontId="13" fillId="0" borderId="41" xfId="0" applyFont="1" applyBorder="1" applyAlignment="1">
      <alignment vertical="center"/>
    </xf>
    <xf numFmtId="0" fontId="13" fillId="0" borderId="23" xfId="0" applyFont="1" applyBorder="1" applyAlignment="1">
      <alignment horizontal="center"/>
    </xf>
    <xf numFmtId="4" fontId="12" fillId="0" borderId="10" xfId="1" applyNumberFormat="1" applyFont="1" applyFill="1" applyBorder="1" applyAlignment="1"/>
    <xf numFmtId="0" fontId="12" fillId="0" borderId="13" xfId="0" applyFont="1" applyBorder="1" applyAlignment="1">
      <alignment wrapText="1"/>
    </xf>
    <xf numFmtId="3" fontId="12" fillId="0" borderId="55" xfId="0" applyNumberFormat="1" applyFont="1" applyBorder="1" applyAlignment="1">
      <alignment horizontal="right"/>
    </xf>
    <xf numFmtId="168" fontId="12" fillId="0" borderId="56" xfId="0" applyNumberFormat="1" applyFont="1" applyBorder="1" applyAlignment="1">
      <alignment vertical="center"/>
    </xf>
    <xf numFmtId="168" fontId="12" fillId="0" borderId="32" xfId="0" applyNumberFormat="1" applyFont="1" applyBorder="1" applyAlignment="1">
      <alignment vertical="center"/>
    </xf>
    <xf numFmtId="10" fontId="13" fillId="0" borderId="35" xfId="1" applyNumberFormat="1" applyFont="1" applyFill="1" applyBorder="1" applyAlignment="1">
      <alignment horizontal="right"/>
    </xf>
    <xf numFmtId="0" fontId="12" fillId="0" borderId="20" xfId="0" applyFont="1" applyBorder="1" applyAlignment="1">
      <alignment vertical="center"/>
    </xf>
    <xf numFmtId="0" fontId="13" fillId="0" borderId="20" xfId="0" applyFont="1" applyBorder="1" applyAlignment="1">
      <alignment horizontal="left" vertical="center"/>
    </xf>
    <xf numFmtId="172" fontId="12" fillId="0" borderId="20" xfId="1" applyNumberFormat="1" applyFont="1" applyFill="1" applyBorder="1" applyAlignment="1">
      <alignment vertical="center"/>
    </xf>
    <xf numFmtId="168" fontId="12" fillId="0" borderId="20" xfId="0" applyNumberFormat="1" applyFont="1" applyBorder="1" applyAlignment="1">
      <alignment vertical="center"/>
    </xf>
    <xf numFmtId="168" fontId="12" fillId="0" borderId="47" xfId="0" applyNumberFormat="1" applyFont="1" applyBorder="1" applyAlignment="1">
      <alignment horizontal="center"/>
    </xf>
    <xf numFmtId="3" fontId="10" fillId="0" borderId="0" xfId="0" quotePrefix="1" applyNumberFormat="1" applyFont="1"/>
    <xf numFmtId="3" fontId="10" fillId="0" borderId="0" xfId="0" applyNumberFormat="1" applyFont="1"/>
    <xf numFmtId="3" fontId="0" fillId="0" borderId="0" xfId="0" applyNumberFormat="1"/>
    <xf numFmtId="0" fontId="12" fillId="0" borderId="24" xfId="0" applyFont="1" applyBorder="1"/>
    <xf numFmtId="0" fontId="12" fillId="0" borderId="57" xfId="0" applyFont="1" applyBorder="1"/>
    <xf numFmtId="0" fontId="12" fillId="0" borderId="5" xfId="0" applyFont="1" applyBorder="1"/>
    <xf numFmtId="0" fontId="12" fillId="0" borderId="21" xfId="0" applyFont="1" applyBorder="1"/>
    <xf numFmtId="0" fontId="12" fillId="0" borderId="47" xfId="0" applyFont="1" applyBorder="1"/>
    <xf numFmtId="0" fontId="12" fillId="0" borderId="60" xfId="0" applyFont="1" applyBorder="1"/>
    <xf numFmtId="172" fontId="12" fillId="0" borderId="8" xfId="1" applyNumberFormat="1" applyFont="1" applyFill="1" applyBorder="1" applyAlignment="1">
      <alignment horizontal="center" vertical="center"/>
    </xf>
    <xf numFmtId="164" fontId="2" fillId="0" borderId="0" xfId="0" applyNumberFormat="1" applyFont="1"/>
    <xf numFmtId="0" fontId="3" fillId="0" borderId="0" xfId="0" applyFont="1" applyAlignment="1">
      <alignment horizontal="left" vertical="center" wrapText="1"/>
    </xf>
    <xf numFmtId="0" fontId="12" fillId="0" borderId="25" xfId="0" applyFont="1" applyBorder="1"/>
    <xf numFmtId="0" fontId="3" fillId="0" borderId="20" xfId="0" applyFont="1" applyBorder="1" applyAlignment="1">
      <alignment horizontal="center"/>
    </xf>
    <xf numFmtId="0" fontId="13" fillId="0" borderId="18" xfId="0" applyFont="1" applyBorder="1" applyAlignment="1">
      <alignment horizontal="left"/>
    </xf>
    <xf numFmtId="9" fontId="2" fillId="0" borderId="0" xfId="0" applyNumberFormat="1" applyFont="1" applyAlignment="1">
      <alignment horizontal="left"/>
    </xf>
    <xf numFmtId="0" fontId="3" fillId="0" borderId="2" xfId="0" applyFont="1" applyBorder="1" applyAlignment="1">
      <alignment horizontal="right"/>
    </xf>
    <xf numFmtId="168" fontId="12" fillId="0" borderId="61" xfId="0" applyNumberFormat="1" applyFont="1" applyBorder="1"/>
    <xf numFmtId="168" fontId="12" fillId="0" borderId="61" xfId="0" applyNumberFormat="1" applyFont="1" applyBorder="1" applyAlignment="1">
      <alignment vertical="center"/>
    </xf>
    <xf numFmtId="0" fontId="5" fillId="0" borderId="63" xfId="0" applyFont="1" applyBorder="1"/>
    <xf numFmtId="0" fontId="13" fillId="0" borderId="64" xfId="0" applyFont="1" applyBorder="1"/>
    <xf numFmtId="168" fontId="12" fillId="2" borderId="40" xfId="4" applyNumberFormat="1" applyFont="1" applyFill="1" applyBorder="1" applyAlignment="1">
      <alignment vertical="center"/>
    </xf>
    <xf numFmtId="3" fontId="16" fillId="0" borderId="40" xfId="2" applyNumberFormat="1" applyFont="1" applyBorder="1" applyAlignment="1">
      <alignment horizontal="right" vertical="center"/>
    </xf>
    <xf numFmtId="3" fontId="16" fillId="0" borderId="31" xfId="2" applyNumberFormat="1" applyFont="1" applyBorder="1" applyAlignment="1">
      <alignment horizontal="right" vertical="center"/>
    </xf>
    <xf numFmtId="4" fontId="12" fillId="0" borderId="31" xfId="1" applyNumberFormat="1" applyFont="1" applyFill="1" applyBorder="1" applyAlignment="1"/>
    <xf numFmtId="10" fontId="12" fillId="0" borderId="65" xfId="1" applyNumberFormat="1" applyFont="1" applyFill="1" applyBorder="1" applyAlignment="1">
      <alignment horizontal="right"/>
    </xf>
    <xf numFmtId="172" fontId="12" fillId="0" borderId="14" xfId="1" applyNumberFormat="1" applyFont="1" applyFill="1" applyBorder="1" applyAlignment="1"/>
    <xf numFmtId="0" fontId="2" fillId="0" borderId="2" xfId="0" applyFont="1" applyBorder="1" applyAlignment="1">
      <alignment wrapText="1"/>
    </xf>
    <xf numFmtId="0" fontId="12" fillId="0" borderId="37" xfId="0" applyFont="1" applyBorder="1" applyAlignment="1">
      <alignment vertical="center"/>
    </xf>
    <xf numFmtId="172" fontId="3" fillId="0" borderId="0" xfId="1" applyNumberFormat="1" applyFont="1" applyBorder="1"/>
    <xf numFmtId="171" fontId="13" fillId="0" borderId="43" xfId="1" applyNumberFormat="1" applyFont="1" applyFill="1" applyBorder="1" applyAlignment="1">
      <alignment vertical="top"/>
    </xf>
    <xf numFmtId="171" fontId="13" fillId="0" borderId="25" xfId="1" applyNumberFormat="1" applyFont="1" applyFill="1" applyBorder="1" applyAlignment="1">
      <alignment vertical="top"/>
    </xf>
    <xf numFmtId="168" fontId="12" fillId="0" borderId="27" xfId="4" applyNumberFormat="1" applyFont="1" applyBorder="1"/>
    <xf numFmtId="168" fontId="12" fillId="0" borderId="27" xfId="4" applyNumberFormat="1" applyFont="1" applyBorder="1" applyAlignment="1">
      <alignment horizontal="right" vertical="center"/>
    </xf>
    <xf numFmtId="0" fontId="13" fillId="0" borderId="62" xfId="0" applyFont="1" applyBorder="1" applyAlignment="1">
      <alignment horizontal="centerContinuous" vertical="center"/>
    </xf>
    <xf numFmtId="0" fontId="13" fillId="0" borderId="22" xfId="0" applyFont="1" applyBorder="1" applyAlignment="1">
      <alignment horizontal="centerContinuous" vertical="center"/>
    </xf>
    <xf numFmtId="0" fontId="13" fillId="0" borderId="42" xfId="0" applyFont="1" applyBorder="1" applyAlignment="1">
      <alignment horizontal="centerContinuous" vertical="center"/>
    </xf>
    <xf numFmtId="168" fontId="13" fillId="0" borderId="49" xfId="0" applyNumberFormat="1" applyFont="1" applyBorder="1" applyAlignment="1">
      <alignment vertical="center"/>
    </xf>
    <xf numFmtId="171" fontId="13" fillId="0" borderId="62" xfId="1" applyNumberFormat="1" applyFont="1" applyFill="1" applyBorder="1" applyAlignment="1">
      <alignment vertical="top"/>
    </xf>
    <xf numFmtId="171" fontId="13" fillId="0" borderId="42" xfId="1" applyNumberFormat="1" applyFont="1" applyFill="1" applyBorder="1" applyAlignment="1">
      <alignment vertical="top"/>
    </xf>
    <xf numFmtId="171" fontId="12" fillId="0" borderId="43" xfId="1" applyNumberFormat="1" applyFont="1" applyFill="1" applyBorder="1" applyAlignment="1">
      <alignment vertical="top" wrapText="1"/>
    </xf>
    <xf numFmtId="171" fontId="12" fillId="0" borderId="25" xfId="1" applyNumberFormat="1" applyFont="1" applyFill="1" applyBorder="1" applyAlignment="1">
      <alignment vertical="top" wrapText="1"/>
    </xf>
    <xf numFmtId="171" fontId="12" fillId="0" borderId="41" xfId="1" applyNumberFormat="1" applyFont="1" applyFill="1" applyBorder="1" applyAlignment="1">
      <alignment vertical="top" wrapText="1"/>
    </xf>
    <xf numFmtId="171" fontId="12" fillId="0" borderId="20" xfId="1" applyNumberFormat="1" applyFont="1" applyFill="1" applyBorder="1" applyAlignment="1">
      <alignment vertical="top" wrapText="1"/>
    </xf>
    <xf numFmtId="171" fontId="12" fillId="0" borderId="38" xfId="1" applyNumberFormat="1" applyFont="1" applyFill="1" applyBorder="1" applyAlignment="1">
      <alignment vertical="top" wrapText="1"/>
    </xf>
    <xf numFmtId="3" fontId="12" fillId="0" borderId="31" xfId="4" applyNumberFormat="1" applyFont="1" applyBorder="1" applyAlignment="1">
      <alignment horizontal="right"/>
    </xf>
    <xf numFmtId="0" fontId="13" fillId="0" borderId="43" xfId="0" applyFont="1" applyBorder="1" applyAlignment="1">
      <alignment vertical="center"/>
    </xf>
    <xf numFmtId="0" fontId="12" fillId="0" borderId="33" xfId="0" applyFont="1" applyBorder="1" applyAlignment="1">
      <alignment wrapText="1" shrinkToFit="1"/>
    </xf>
    <xf numFmtId="0" fontId="12" fillId="0" borderId="46" xfId="0" applyFont="1" applyBorder="1"/>
    <xf numFmtId="0" fontId="12" fillId="0" borderId="54" xfId="0" applyFont="1" applyBorder="1" applyAlignment="1">
      <alignment horizontal="left" indent="2"/>
    </xf>
    <xf numFmtId="0" fontId="13" fillId="0" borderId="15" xfId="0" applyFont="1" applyBorder="1" applyAlignment="1">
      <alignment vertical="center"/>
    </xf>
    <xf numFmtId="170" fontId="12" fillId="0" borderId="6" xfId="2" applyNumberFormat="1" applyFont="1" applyFill="1" applyBorder="1" applyAlignment="1">
      <alignment horizontal="center"/>
    </xf>
    <xf numFmtId="0" fontId="13" fillId="3" borderId="68" xfId="0" applyFont="1" applyFill="1" applyBorder="1" applyAlignment="1">
      <alignment horizontal="center"/>
    </xf>
    <xf numFmtId="168" fontId="12" fillId="0" borderId="20" xfId="0" applyNumberFormat="1" applyFont="1" applyBorder="1" applyAlignment="1">
      <alignment horizontal="center"/>
    </xf>
    <xf numFmtId="168" fontId="12" fillId="0" borderId="38" xfId="2" applyNumberFormat="1" applyFont="1" applyFill="1" applyBorder="1" applyAlignment="1">
      <alignment horizontal="center"/>
    </xf>
    <xf numFmtId="0" fontId="2" fillId="0" borderId="0" xfId="0" applyFont="1" applyAlignment="1">
      <alignment horizontal="centerContinuous"/>
    </xf>
    <xf numFmtId="0" fontId="13" fillId="3" borderId="69" xfId="0" applyFont="1" applyFill="1" applyBorder="1" applyAlignment="1">
      <alignment horizontal="center" vertical="center" wrapText="1"/>
    </xf>
    <xf numFmtId="0" fontId="13" fillId="3" borderId="22" xfId="0" applyFont="1" applyFill="1" applyBorder="1" applyAlignment="1">
      <alignment horizontal="center" vertical="center" wrapText="1"/>
    </xf>
    <xf numFmtId="172" fontId="13" fillId="3" borderId="22" xfId="1" applyNumberFormat="1"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0" borderId="46" xfId="0" quotePrefix="1" applyFont="1" applyBorder="1" applyAlignment="1">
      <alignment horizontal="left"/>
    </xf>
    <xf numFmtId="0" fontId="13" fillId="0" borderId="43" xfId="0" quotePrefix="1" applyFont="1" applyBorder="1"/>
    <xf numFmtId="168" fontId="12" fillId="0" borderId="58" xfId="0" applyNumberFormat="1" applyFont="1" applyBorder="1"/>
    <xf numFmtId="171" fontId="12" fillId="0" borderId="12" xfId="1" applyNumberFormat="1" applyFont="1" applyFill="1" applyBorder="1" applyAlignment="1"/>
    <xf numFmtId="169" fontId="12" fillId="0" borderId="55" xfId="0" applyNumberFormat="1" applyFont="1" applyBorder="1"/>
    <xf numFmtId="171" fontId="13" fillId="0" borderId="36" xfId="1" applyNumberFormat="1" applyFont="1" applyFill="1" applyBorder="1" applyAlignment="1"/>
    <xf numFmtId="0" fontId="13" fillId="0" borderId="23" xfId="0" applyFont="1" applyBorder="1"/>
    <xf numFmtId="172" fontId="13" fillId="0" borderId="23" xfId="1" applyNumberFormat="1" applyFont="1" applyFill="1" applyBorder="1" applyAlignment="1"/>
    <xf numFmtId="168" fontId="13" fillId="0" borderId="35" xfId="0" applyNumberFormat="1" applyFont="1" applyBorder="1"/>
    <xf numFmtId="168" fontId="13" fillId="0" borderId="23" xfId="0" applyNumberFormat="1" applyFont="1" applyBorder="1"/>
    <xf numFmtId="168" fontId="13" fillId="0" borderId="67" xfId="0" applyNumberFormat="1" applyFont="1" applyBorder="1"/>
    <xf numFmtId="0" fontId="13" fillId="0" borderId="46" xfId="0" quotePrefix="1" applyFont="1" applyBorder="1"/>
    <xf numFmtId="171" fontId="13" fillId="0" borderId="62" xfId="1" applyNumberFormat="1" applyFont="1" applyFill="1" applyBorder="1" applyAlignment="1"/>
    <xf numFmtId="0" fontId="13" fillId="0" borderId="22" xfId="0" applyFont="1" applyBorder="1"/>
    <xf numFmtId="171" fontId="13" fillId="0" borderId="41" xfId="1" applyNumberFormat="1" applyFont="1" applyFill="1" applyBorder="1" applyAlignment="1"/>
    <xf numFmtId="0" fontId="13" fillId="0" borderId="20" xfId="0" applyFont="1" applyBorder="1"/>
    <xf numFmtId="172" fontId="13" fillId="0" borderId="20" xfId="1" applyNumberFormat="1" applyFont="1" applyFill="1" applyBorder="1" applyAlignment="1"/>
    <xf numFmtId="168" fontId="13" fillId="0" borderId="20" xfId="0" applyNumberFormat="1" applyFont="1" applyBorder="1"/>
    <xf numFmtId="168" fontId="13" fillId="0" borderId="38" xfId="0" applyNumberFormat="1" applyFont="1" applyBorder="1"/>
    <xf numFmtId="171" fontId="13" fillId="0" borderId="0" xfId="1" applyNumberFormat="1" applyFont="1" applyFill="1" applyBorder="1" applyAlignment="1"/>
    <xf numFmtId="0" fontId="13" fillId="0" borderId="0" xfId="0" applyFont="1"/>
    <xf numFmtId="172" fontId="13" fillId="0" borderId="0" xfId="1" applyNumberFormat="1" applyFont="1" applyFill="1" applyBorder="1" applyAlignment="1"/>
    <xf numFmtId="168" fontId="13" fillId="0" borderId="0" xfId="0" applyNumberFormat="1" applyFont="1"/>
    <xf numFmtId="171" fontId="17" fillId="3" borderId="41" xfId="1" applyNumberFormat="1" applyFont="1" applyFill="1" applyBorder="1" applyAlignment="1"/>
    <xf numFmtId="0" fontId="13" fillId="3" borderId="20" xfId="0" applyFont="1" applyFill="1" applyBorder="1"/>
    <xf numFmtId="172" fontId="13" fillId="3" borderId="20" xfId="1" applyNumberFormat="1" applyFont="1" applyFill="1" applyBorder="1" applyAlignment="1"/>
    <xf numFmtId="168" fontId="13" fillId="3" borderId="20" xfId="0" applyNumberFormat="1" applyFont="1" applyFill="1" applyBorder="1"/>
    <xf numFmtId="168" fontId="13" fillId="3" borderId="38" xfId="0" applyNumberFormat="1" applyFont="1" applyFill="1" applyBorder="1"/>
    <xf numFmtId="171" fontId="13" fillId="0" borderId="43" xfId="1" applyNumberFormat="1" applyFont="1" applyFill="1" applyBorder="1" applyAlignment="1"/>
    <xf numFmtId="171" fontId="12" fillId="0" borderId="0" xfId="1" applyNumberFormat="1" applyFont="1" applyFill="1" applyBorder="1" applyAlignment="1"/>
    <xf numFmtId="169" fontId="12" fillId="0" borderId="0" xfId="0" applyNumberFormat="1" applyFont="1"/>
    <xf numFmtId="171" fontId="17" fillId="3" borderId="18" xfId="1" applyNumberFormat="1" applyFont="1" applyFill="1" applyBorder="1" applyAlignment="1"/>
    <xf numFmtId="0" fontId="13" fillId="3" borderId="1" xfId="0" applyFont="1" applyFill="1" applyBorder="1"/>
    <xf numFmtId="172" fontId="13" fillId="3" borderId="1" xfId="1" applyNumberFormat="1" applyFont="1" applyFill="1" applyBorder="1" applyAlignment="1"/>
    <xf numFmtId="168" fontId="13" fillId="3" borderId="1" xfId="0" applyNumberFormat="1" applyFont="1" applyFill="1" applyBorder="1"/>
    <xf numFmtId="168" fontId="13" fillId="3" borderId="19" xfId="0" applyNumberFormat="1" applyFont="1" applyFill="1" applyBorder="1"/>
    <xf numFmtId="169" fontId="12" fillId="0" borderId="2" xfId="0" applyNumberFormat="1" applyFont="1" applyBorder="1" applyAlignment="1">
      <alignment horizontal="center"/>
    </xf>
    <xf numFmtId="168" fontId="12" fillId="0" borderId="55" xfId="0" applyNumberFormat="1" applyFont="1" applyBorder="1" applyAlignment="1">
      <alignment horizontal="center"/>
    </xf>
    <xf numFmtId="168" fontId="12" fillId="0" borderId="10" xfId="0" applyNumberFormat="1" applyFont="1" applyBorder="1" applyAlignment="1">
      <alignment horizontal="center"/>
    </xf>
    <xf numFmtId="169" fontId="12" fillId="0" borderId="55" xfId="0" applyNumberFormat="1" applyFont="1" applyBorder="1" applyAlignment="1">
      <alignment horizontal="center"/>
    </xf>
    <xf numFmtId="10" fontId="12" fillId="0" borderId="10" xfId="1" applyNumberFormat="1" applyFont="1" applyFill="1" applyBorder="1" applyAlignment="1">
      <alignment horizontal="center"/>
    </xf>
    <xf numFmtId="168" fontId="12" fillId="0" borderId="58" xfId="0" applyNumberFormat="1" applyFont="1" applyBorder="1" applyAlignment="1">
      <alignment horizontal="center"/>
    </xf>
    <xf numFmtId="168" fontId="12" fillId="0" borderId="56" xfId="0" applyNumberFormat="1" applyFont="1" applyBorder="1" applyAlignment="1">
      <alignment horizontal="center"/>
    </xf>
    <xf numFmtId="168" fontId="12" fillId="0" borderId="26" xfId="0" applyNumberFormat="1" applyFont="1" applyBorder="1" applyAlignment="1">
      <alignment horizontal="center"/>
    </xf>
    <xf numFmtId="168" fontId="12" fillId="0" borderId="11" xfId="0" applyNumberFormat="1" applyFont="1" applyBorder="1" applyAlignment="1">
      <alignment horizontal="center"/>
    </xf>
    <xf numFmtId="172" fontId="13" fillId="0" borderId="23" xfId="1" applyNumberFormat="1" applyFont="1" applyFill="1" applyBorder="1" applyAlignment="1">
      <alignment horizontal="center"/>
    </xf>
    <xf numFmtId="168" fontId="13" fillId="0" borderId="35" xfId="0" applyNumberFormat="1" applyFont="1" applyBorder="1" applyAlignment="1">
      <alignment horizontal="center"/>
    </xf>
    <xf numFmtId="168" fontId="13" fillId="0" borderId="23" xfId="0" applyNumberFormat="1" applyFont="1" applyBorder="1" applyAlignment="1">
      <alignment horizontal="center"/>
    </xf>
    <xf numFmtId="168" fontId="13" fillId="0" borderId="67" xfId="0" applyNumberFormat="1" applyFont="1" applyBorder="1" applyAlignment="1">
      <alignment horizontal="center"/>
    </xf>
    <xf numFmtId="171" fontId="17" fillId="0" borderId="18" xfId="1" applyNumberFormat="1" applyFont="1" applyFill="1" applyBorder="1" applyAlignment="1">
      <alignment horizontal="center"/>
    </xf>
    <xf numFmtId="171" fontId="17" fillId="4" borderId="18" xfId="1" applyNumberFormat="1" applyFont="1" applyFill="1" applyBorder="1" applyAlignment="1">
      <alignment horizontal="center"/>
    </xf>
    <xf numFmtId="168" fontId="17" fillId="4" borderId="1" xfId="0" applyNumberFormat="1" applyFont="1" applyFill="1" applyBorder="1" applyAlignment="1">
      <alignment horizontal="center"/>
    </xf>
    <xf numFmtId="168" fontId="17" fillId="4" borderId="19" xfId="0" applyNumberFormat="1" applyFont="1" applyFill="1" applyBorder="1" applyAlignment="1">
      <alignment horizontal="center"/>
    </xf>
    <xf numFmtId="171" fontId="17" fillId="4" borderId="18" xfId="1" applyNumberFormat="1" applyFont="1" applyFill="1" applyBorder="1" applyAlignment="1"/>
    <xf numFmtId="168" fontId="17" fillId="4" borderId="1" xfId="0" applyNumberFormat="1" applyFont="1" applyFill="1" applyBorder="1"/>
    <xf numFmtId="168" fontId="17" fillId="4" borderId="19" xfId="0" applyNumberFormat="1" applyFont="1" applyFill="1" applyBorder="1"/>
    <xf numFmtId="168" fontId="13" fillId="0" borderId="71" xfId="0" applyNumberFormat="1" applyFont="1" applyBorder="1"/>
    <xf numFmtId="168" fontId="13" fillId="0" borderId="72" xfId="0" applyNumberFormat="1" applyFont="1" applyBorder="1"/>
    <xf numFmtId="172" fontId="13" fillId="0" borderId="71" xfId="1" applyNumberFormat="1" applyFont="1" applyFill="1" applyBorder="1" applyAlignment="1"/>
    <xf numFmtId="168" fontId="13" fillId="0" borderId="66" xfId="0" applyNumberFormat="1" applyFont="1" applyBorder="1"/>
    <xf numFmtId="168" fontId="12" fillId="0" borderId="26" xfId="1" applyNumberFormat="1" applyFont="1" applyFill="1" applyBorder="1" applyAlignment="1">
      <alignment horizontal="center"/>
    </xf>
    <xf numFmtId="168" fontId="13" fillId="0" borderId="59" xfId="0" applyNumberFormat="1" applyFont="1" applyBorder="1" applyAlignment="1">
      <alignment horizontal="center"/>
    </xf>
    <xf numFmtId="0" fontId="2" fillId="0" borderId="73" xfId="0" applyFont="1" applyBorder="1" applyAlignment="1">
      <alignment horizontal="right"/>
    </xf>
    <xf numFmtId="172" fontId="2" fillId="0" borderId="47" xfId="1" applyNumberFormat="1" applyFont="1" applyFill="1" applyBorder="1" applyAlignment="1">
      <alignment horizontal="center" vertical="center"/>
    </xf>
    <xf numFmtId="169" fontId="2" fillId="0" borderId="47" xfId="0" applyNumberFormat="1" applyFont="1" applyBorder="1" applyAlignment="1">
      <alignment horizontal="center" vertical="center"/>
    </xf>
    <xf numFmtId="172" fontId="2" fillId="0" borderId="73" xfId="1" applyNumberFormat="1" applyFont="1" applyBorder="1"/>
    <xf numFmtId="0" fontId="2" fillId="0" borderId="73" xfId="0" applyFont="1" applyBorder="1" applyAlignment="1">
      <alignment horizontal="center"/>
    </xf>
    <xf numFmtId="168" fontId="2" fillId="0" borderId="73" xfId="0" applyNumberFormat="1" applyFont="1" applyBorder="1"/>
    <xf numFmtId="168" fontId="3" fillId="0" borderId="73" xfId="0" applyNumberFormat="1" applyFont="1" applyBorder="1"/>
    <xf numFmtId="0" fontId="3" fillId="0" borderId="47" xfId="0" applyFont="1" applyBorder="1" applyAlignment="1">
      <alignment horizontal="right"/>
    </xf>
    <xf numFmtId="0" fontId="12" fillId="0" borderId="37" xfId="0" applyFont="1" applyBorder="1" applyAlignment="1">
      <alignment horizontal="left" indent="2"/>
    </xf>
    <xf numFmtId="0" fontId="13" fillId="0" borderId="18" xfId="0" applyFont="1" applyBorder="1" applyAlignment="1">
      <alignment horizontal="left" vertical="center" wrapText="1"/>
    </xf>
    <xf numFmtId="0" fontId="12" fillId="0" borderId="77" xfId="0" applyFont="1" applyBorder="1" applyAlignment="1">
      <alignment horizontal="left" indent="2"/>
    </xf>
    <xf numFmtId="0" fontId="12" fillId="0" borderId="77" xfId="0" applyFont="1" applyBorder="1" applyAlignment="1">
      <alignment horizontal="left" wrapText="1" indent="2"/>
    </xf>
    <xf numFmtId="168" fontId="13" fillId="0" borderId="59" xfId="0" applyNumberFormat="1" applyFont="1" applyBorder="1"/>
    <xf numFmtId="168" fontId="12" fillId="0" borderId="26" xfId="1" applyNumberFormat="1" applyFont="1" applyFill="1" applyBorder="1" applyAlignment="1"/>
    <xf numFmtId="0" fontId="18" fillId="0" borderId="13" xfId="0" applyFont="1" applyBorder="1"/>
    <xf numFmtId="168" fontId="12" fillId="0" borderId="10" xfId="1" applyNumberFormat="1" applyFont="1" applyFill="1" applyBorder="1" applyAlignment="1"/>
    <xf numFmtId="169" fontId="12" fillId="0" borderId="10" xfId="0" applyNumberFormat="1" applyFont="1" applyBorder="1" applyAlignment="1">
      <alignment horizontal="center"/>
    </xf>
    <xf numFmtId="0" fontId="3" fillId="0" borderId="47" xfId="0" applyFont="1" applyBorder="1" applyAlignment="1">
      <alignment horizontal="center"/>
    </xf>
    <xf numFmtId="1" fontId="3" fillId="0" borderId="47" xfId="1" applyNumberFormat="1" applyFont="1" applyBorder="1" applyAlignment="1">
      <alignment horizontal="center"/>
    </xf>
    <xf numFmtId="1" fontId="3" fillId="0" borderId="47" xfId="2" applyNumberFormat="1" applyFont="1" applyBorder="1" applyAlignment="1">
      <alignment horizontal="center"/>
    </xf>
    <xf numFmtId="168" fontId="12" fillId="0" borderId="10" xfId="1" applyNumberFormat="1" applyFont="1" applyFill="1" applyBorder="1" applyAlignment="1">
      <alignment horizontal="center"/>
    </xf>
    <xf numFmtId="0" fontId="3" fillId="0" borderId="47" xfId="0" applyFont="1" applyBorder="1" applyAlignment="1">
      <alignment horizontal="right" vertical="center" wrapText="1"/>
    </xf>
    <xf numFmtId="0" fontId="3" fillId="0" borderId="47" xfId="0" applyFont="1" applyBorder="1" applyAlignment="1">
      <alignment horizontal="center" vertical="center" wrapText="1"/>
    </xf>
    <xf numFmtId="0" fontId="3" fillId="0" borderId="21" xfId="0" applyFont="1" applyBorder="1" applyAlignment="1">
      <alignment horizontal="right"/>
    </xf>
    <xf numFmtId="0" fontId="2" fillId="0" borderId="30" xfId="0" applyFont="1" applyBorder="1" applyAlignment="1">
      <alignment horizontal="center"/>
    </xf>
    <xf numFmtId="0" fontId="12" fillId="0" borderId="40" xfId="0" applyFont="1" applyBorder="1" applyAlignment="1">
      <alignment horizontal="center"/>
    </xf>
    <xf numFmtId="0" fontId="13" fillId="0" borderId="78" xfId="0" applyFont="1" applyBorder="1"/>
    <xf numFmtId="0" fontId="3" fillId="0" borderId="47" xfId="1" applyNumberFormat="1" applyFont="1" applyBorder="1" applyAlignment="1">
      <alignment horizontal="center"/>
    </xf>
    <xf numFmtId="0" fontId="2" fillId="0" borderId="47" xfId="0" applyFont="1" applyBorder="1" applyAlignment="1">
      <alignment horizontal="center"/>
    </xf>
    <xf numFmtId="168" fontId="2" fillId="0" borderId="2" xfId="0" applyNumberFormat="1" applyFont="1" applyBorder="1" applyAlignment="1">
      <alignment horizontal="center"/>
    </xf>
    <xf numFmtId="0" fontId="3" fillId="0" borderId="73" xfId="0" applyFont="1" applyBorder="1" applyAlignment="1">
      <alignment horizontal="center"/>
    </xf>
    <xf numFmtId="172" fontId="2" fillId="0" borderId="73" xfId="1" applyNumberFormat="1" applyFont="1" applyBorder="1" applyAlignment="1">
      <alignment horizontal="center"/>
    </xf>
    <xf numFmtId="170" fontId="16" fillId="0" borderId="73" xfId="2" applyNumberFormat="1" applyFont="1" applyBorder="1" applyAlignment="1">
      <alignment horizontal="center" vertical="center"/>
    </xf>
    <xf numFmtId="168" fontId="2" fillId="0" borderId="47" xfId="0" applyNumberFormat="1" applyFont="1" applyBorder="1" applyAlignment="1">
      <alignment horizontal="center" vertical="center"/>
    </xf>
    <xf numFmtId="172" fontId="2" fillId="0" borderId="2" xfId="1" applyNumberFormat="1" applyFont="1" applyBorder="1" applyAlignment="1">
      <alignment horizontal="center"/>
    </xf>
    <xf numFmtId="170" fontId="16" fillId="0" borderId="0" xfId="2" applyNumberFormat="1" applyFont="1" applyBorder="1" applyAlignment="1">
      <alignment horizontal="center" vertical="center"/>
    </xf>
    <xf numFmtId="0" fontId="2" fillId="0" borderId="2" xfId="1" applyNumberFormat="1" applyFont="1" applyBorder="1" applyAlignment="1">
      <alignment horizontal="center"/>
    </xf>
    <xf numFmtId="168" fontId="16" fillId="0" borderId="2" xfId="2" applyNumberFormat="1" applyFont="1" applyBorder="1" applyAlignment="1">
      <alignment horizontal="center" vertical="center"/>
    </xf>
    <xf numFmtId="168" fontId="3" fillId="0" borderId="2" xfId="0" applyNumberFormat="1" applyFont="1" applyBorder="1"/>
    <xf numFmtId="168" fontId="16" fillId="0" borderId="21" xfId="2" applyNumberFormat="1" applyFont="1" applyBorder="1" applyAlignment="1">
      <alignment horizontal="center" vertical="center"/>
    </xf>
    <xf numFmtId="168" fontId="2" fillId="0" borderId="73" xfId="2" applyNumberFormat="1" applyFont="1" applyBorder="1" applyAlignment="1">
      <alignment horizontal="center"/>
    </xf>
    <xf numFmtId="1" fontId="2" fillId="0" borderId="2" xfId="0" applyNumberFormat="1" applyFont="1" applyBorder="1" applyAlignment="1">
      <alignment horizontal="center"/>
    </xf>
    <xf numFmtId="0" fontId="19" fillId="0" borderId="43" xfId="4" quotePrefix="1" applyFont="1" applyBorder="1"/>
    <xf numFmtId="0" fontId="19" fillId="0" borderId="41" xfId="0" applyFont="1" applyBorder="1"/>
    <xf numFmtId="0" fontId="2" fillId="0" borderId="73" xfId="0" applyFont="1" applyBorder="1"/>
    <xf numFmtId="1" fontId="3" fillId="0" borderId="47" xfId="0" applyNumberFormat="1" applyFont="1" applyBorder="1" applyAlignment="1">
      <alignment horizontal="center"/>
    </xf>
    <xf numFmtId="0" fontId="3" fillId="0" borderId="73" xfId="0" applyFont="1" applyBorder="1" applyAlignment="1">
      <alignment wrapText="1"/>
    </xf>
    <xf numFmtId="168" fontId="3" fillId="0" borderId="73" xfId="0" applyNumberFormat="1" applyFont="1" applyBorder="1" applyAlignment="1">
      <alignment horizontal="center"/>
    </xf>
    <xf numFmtId="0" fontId="3" fillId="0" borderId="2" xfId="0" applyFont="1" applyBorder="1" applyAlignment="1">
      <alignment vertical="center"/>
    </xf>
    <xf numFmtId="0" fontId="3" fillId="0" borderId="2" xfId="0" applyFont="1" applyBorder="1" applyAlignment="1">
      <alignment horizontal="center"/>
    </xf>
    <xf numFmtId="0" fontId="0" fillId="0" borderId="82" xfId="0" applyBorder="1"/>
    <xf numFmtId="0" fontId="0" fillId="5" borderId="0" xfId="0" applyFill="1"/>
    <xf numFmtId="1" fontId="12" fillId="0" borderId="55" xfId="0" applyNumberFormat="1" applyFont="1" applyBorder="1" applyAlignment="1">
      <alignment horizontal="center"/>
    </xf>
    <xf numFmtId="1" fontId="12" fillId="0" borderId="10" xfId="0" applyNumberFormat="1" applyFont="1" applyBorder="1" applyAlignment="1">
      <alignment horizontal="center"/>
    </xf>
    <xf numFmtId="9" fontId="0" fillId="0" borderId="0" xfId="0" applyNumberFormat="1"/>
    <xf numFmtId="0" fontId="0" fillId="0" borderId="2" xfId="0" applyBorder="1" applyAlignment="1">
      <alignment horizontal="center"/>
    </xf>
    <xf numFmtId="168" fontId="0" fillId="0" borderId="2" xfId="0" applyNumberFormat="1" applyBorder="1"/>
    <xf numFmtId="0" fontId="0" fillId="0" borderId="2" xfId="0" applyBorder="1"/>
    <xf numFmtId="0" fontId="3" fillId="0" borderId="2" xfId="1" applyNumberFormat="1" applyFont="1" applyBorder="1" applyAlignment="1">
      <alignment horizontal="center"/>
    </xf>
    <xf numFmtId="0" fontId="3" fillId="0" borderId="47" xfId="0" applyFont="1" applyBorder="1" applyAlignment="1">
      <alignment horizontal="right" wrapText="1"/>
    </xf>
    <xf numFmtId="0" fontId="2" fillId="0" borderId="82" xfId="0" applyFont="1" applyBorder="1"/>
    <xf numFmtId="172" fontId="2" fillId="0" borderId="82" xfId="1" applyNumberFormat="1" applyFont="1" applyBorder="1"/>
    <xf numFmtId="168" fontId="0" fillId="0" borderId="82" xfId="0" applyNumberFormat="1" applyBorder="1"/>
    <xf numFmtId="168" fontId="13" fillId="0" borderId="0" xfId="0" applyNumberFormat="1" applyFont="1" applyAlignment="1">
      <alignment horizontal="center"/>
    </xf>
    <xf numFmtId="168" fontId="13" fillId="0" borderId="25" xfId="0" applyNumberFormat="1" applyFont="1" applyBorder="1" applyAlignment="1">
      <alignment horizontal="center"/>
    </xf>
    <xf numFmtId="0" fontId="3" fillId="0" borderId="82" xfId="0" applyFont="1" applyBorder="1"/>
    <xf numFmtId="4" fontId="12" fillId="0" borderId="2" xfId="0" applyNumberFormat="1" applyFont="1" applyBorder="1" applyAlignment="1">
      <alignment horizontal="center"/>
    </xf>
    <xf numFmtId="4" fontId="12" fillId="0" borderId="5" xfId="0" applyNumberFormat="1" applyFont="1" applyBorder="1" applyAlignment="1">
      <alignment horizontal="center"/>
    </xf>
    <xf numFmtId="4" fontId="12" fillId="0" borderId="55" xfId="0" applyNumberFormat="1" applyFont="1" applyBorder="1" applyAlignment="1">
      <alignment horizontal="center"/>
    </xf>
    <xf numFmtId="0" fontId="12" fillId="0" borderId="83" xfId="0" applyFont="1" applyBorder="1"/>
    <xf numFmtId="0" fontId="13" fillId="0" borderId="17" xfId="0" applyFont="1" applyBorder="1" applyAlignment="1">
      <alignment horizontal="center" vertical="center" wrapText="1"/>
    </xf>
    <xf numFmtId="168" fontId="12" fillId="0" borderId="53" xfId="0" applyNumberFormat="1" applyFont="1" applyBorder="1" applyAlignment="1">
      <alignment horizontal="center"/>
    </xf>
    <xf numFmtId="168" fontId="12" fillId="0" borderId="3" xfId="0" applyNumberFormat="1" applyFont="1" applyBorder="1" applyAlignment="1">
      <alignment horizontal="center"/>
    </xf>
    <xf numFmtId="168" fontId="12" fillId="0" borderId="84" xfId="0" applyNumberFormat="1" applyFont="1" applyBorder="1" applyAlignment="1">
      <alignment horizontal="center"/>
    </xf>
    <xf numFmtId="168" fontId="13" fillId="0" borderId="17" xfId="0" applyNumberFormat="1" applyFont="1" applyBorder="1" applyAlignment="1">
      <alignment horizontal="center" vertical="center"/>
    </xf>
    <xf numFmtId="168" fontId="13" fillId="0" borderId="32" xfId="0" applyNumberFormat="1" applyFont="1" applyBorder="1" applyAlignment="1">
      <alignment horizontal="center" vertical="center"/>
    </xf>
    <xf numFmtId="168" fontId="12" fillId="0" borderId="6" xfId="0" applyNumberFormat="1" applyFont="1" applyBorder="1" applyAlignment="1">
      <alignment horizontal="center"/>
    </xf>
    <xf numFmtId="168" fontId="13" fillId="0" borderId="49" xfId="0" applyNumberFormat="1" applyFont="1" applyBorder="1" applyAlignment="1">
      <alignment horizontal="center" vertical="center"/>
    </xf>
    <xf numFmtId="168" fontId="12" fillId="0" borderId="53" xfId="5" applyNumberFormat="1" applyFont="1" applyFill="1" applyBorder="1" applyAlignment="1">
      <alignment horizontal="center"/>
    </xf>
    <xf numFmtId="168" fontId="12" fillId="0" borderId="85" xfId="0" applyNumberFormat="1" applyFont="1" applyBorder="1" applyAlignment="1">
      <alignment horizontal="center"/>
    </xf>
    <xf numFmtId="168" fontId="13" fillId="0" borderId="86" xfId="0" applyNumberFormat="1" applyFont="1" applyBorder="1" applyAlignment="1">
      <alignment horizontal="center"/>
    </xf>
    <xf numFmtId="0" fontId="14" fillId="0" borderId="25" xfId="0" applyFont="1" applyBorder="1"/>
    <xf numFmtId="0" fontId="14" fillId="0" borderId="38" xfId="0" applyFont="1" applyBorder="1"/>
    <xf numFmtId="172" fontId="2" fillId="0" borderId="47" xfId="0" applyNumberFormat="1" applyFont="1" applyBorder="1"/>
    <xf numFmtId="172" fontId="2" fillId="0" borderId="47" xfId="1" applyNumberFormat="1" applyFont="1" applyBorder="1" applyAlignment="1"/>
    <xf numFmtId="172" fontId="2" fillId="0" borderId="2" xfId="0" applyNumberFormat="1" applyFont="1" applyBorder="1"/>
    <xf numFmtId="172" fontId="2" fillId="0" borderId="2" xfId="1" applyNumberFormat="1" applyFont="1" applyBorder="1" applyAlignment="1"/>
    <xf numFmtId="172" fontId="3" fillId="0" borderId="0" xfId="1" applyNumberFormat="1" applyFont="1"/>
    <xf numFmtId="9" fontId="3" fillId="0" borderId="0" xfId="5" applyFont="1"/>
    <xf numFmtId="168" fontId="12" fillId="0" borderId="60" xfId="0" applyNumberFormat="1" applyFont="1" applyBorder="1" applyAlignment="1">
      <alignment horizontal="center"/>
    </xf>
    <xf numFmtId="0" fontId="3" fillId="0" borderId="0" xfId="0" applyFont="1" applyAlignment="1">
      <alignment horizontal="right"/>
    </xf>
    <xf numFmtId="0" fontId="3" fillId="0" borderId="0" xfId="1" applyNumberFormat="1" applyFont="1" applyBorder="1" applyAlignment="1">
      <alignment horizontal="center"/>
    </xf>
    <xf numFmtId="168" fontId="16" fillId="0" borderId="0" xfId="2" applyNumberFormat="1" applyFont="1" applyBorder="1" applyAlignment="1">
      <alignment horizontal="center" vertical="center"/>
    </xf>
    <xf numFmtId="3" fontId="10" fillId="0" borderId="0" xfId="0" quotePrefix="1" applyNumberFormat="1" applyFont="1" applyAlignment="1">
      <alignment horizontal="left" wrapText="1"/>
    </xf>
    <xf numFmtId="0" fontId="15" fillId="0" borderId="43" xfId="0" applyFont="1" applyBorder="1" applyAlignment="1">
      <alignment horizontal="center" vertical="center"/>
    </xf>
    <xf numFmtId="0" fontId="0" fillId="0" borderId="25" xfId="0" applyBorder="1" applyAlignment="1">
      <alignment horizontal="center" vertical="center"/>
    </xf>
    <xf numFmtId="171" fontId="13" fillId="0" borderId="41" xfId="1" applyNumberFormat="1" applyFont="1" applyBorder="1" applyAlignment="1">
      <alignment horizontal="center"/>
    </xf>
    <xf numFmtId="0" fontId="0" fillId="0" borderId="38" xfId="0" applyBorder="1" applyAlignment="1">
      <alignment horizontal="center"/>
    </xf>
    <xf numFmtId="0" fontId="13" fillId="0" borderId="62" xfId="0" applyFont="1" applyBorder="1" applyAlignment="1">
      <alignment horizontal="center" vertical="center"/>
    </xf>
    <xf numFmtId="0" fontId="0" fillId="0" borderId="42" xfId="0" applyBorder="1" applyAlignment="1">
      <alignment horizontal="center" vertical="center"/>
    </xf>
    <xf numFmtId="0" fontId="3" fillId="0" borderId="74" xfId="0" applyFont="1" applyBorder="1" applyAlignment="1">
      <alignment horizontal="left" wrapText="1"/>
    </xf>
    <xf numFmtId="0" fontId="0" fillId="0" borderId="76" xfId="0" applyBorder="1" applyAlignment="1">
      <alignment wrapText="1"/>
    </xf>
    <xf numFmtId="0" fontId="13" fillId="0" borderId="22"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0" xfId="0" applyFont="1" applyAlignment="1">
      <alignment horizontal="center" vertical="center"/>
    </xf>
    <xf numFmtId="0" fontId="13" fillId="0" borderId="25" xfId="0" applyFont="1" applyBorder="1" applyAlignment="1">
      <alignment horizontal="center" vertical="center"/>
    </xf>
    <xf numFmtId="171" fontId="12" fillId="0" borderId="43" xfId="1" applyNumberFormat="1" applyFont="1" applyFill="1" applyBorder="1" applyAlignment="1">
      <alignment vertical="top" wrapText="1"/>
    </xf>
    <xf numFmtId="171" fontId="12" fillId="0" borderId="0" xfId="1" applyNumberFormat="1" applyFont="1" applyFill="1" applyBorder="1" applyAlignment="1">
      <alignment vertical="top" wrapText="1"/>
    </xf>
    <xf numFmtId="171" fontId="12" fillId="0" borderId="25" xfId="1" applyNumberFormat="1" applyFont="1" applyFill="1" applyBorder="1" applyAlignment="1">
      <alignment vertical="top" wrapText="1"/>
    </xf>
    <xf numFmtId="171" fontId="12" fillId="0" borderId="41" xfId="1" applyNumberFormat="1" applyFont="1" applyFill="1" applyBorder="1" applyAlignment="1">
      <alignment vertical="top" wrapText="1"/>
    </xf>
    <xf numFmtId="171" fontId="12" fillId="0" borderId="20" xfId="1" applyNumberFormat="1" applyFont="1" applyFill="1" applyBorder="1" applyAlignment="1">
      <alignment vertical="top" wrapText="1"/>
    </xf>
    <xf numFmtId="171" fontId="12" fillId="0" borderId="38" xfId="1" applyNumberFormat="1" applyFont="1" applyFill="1" applyBorder="1" applyAlignment="1">
      <alignment vertical="top" wrapText="1"/>
    </xf>
    <xf numFmtId="0" fontId="3" fillId="0" borderId="20" xfId="0" applyFont="1" applyBorder="1" applyAlignment="1">
      <alignment horizontal="center"/>
    </xf>
    <xf numFmtId="0" fontId="3" fillId="0" borderId="38" xfId="0" applyFont="1" applyBorder="1" applyAlignment="1">
      <alignment horizontal="center"/>
    </xf>
    <xf numFmtId="171" fontId="17" fillId="3" borderId="18" xfId="1" applyNumberFormat="1" applyFont="1" applyFill="1" applyBorder="1" applyAlignment="1">
      <alignment horizontal="left" vertical="center"/>
    </xf>
    <xf numFmtId="0" fontId="5" fillId="3" borderId="70" xfId="0" applyFont="1" applyFill="1" applyBorder="1" applyAlignment="1">
      <alignment horizontal="left" vertical="center"/>
    </xf>
    <xf numFmtId="0" fontId="0" fillId="0" borderId="0" xfId="0" applyAlignment="1">
      <alignment vertical="center"/>
    </xf>
    <xf numFmtId="0" fontId="0" fillId="0" borderId="25" xfId="0" applyBorder="1" applyAlignment="1">
      <alignment vertical="center"/>
    </xf>
    <xf numFmtId="168" fontId="3" fillId="0" borderId="2" xfId="0" applyNumberFormat="1" applyFont="1" applyBorder="1" applyAlignment="1">
      <alignment horizontal="center"/>
    </xf>
    <xf numFmtId="0" fontId="3" fillId="0" borderId="2" xfId="0" applyFont="1" applyBorder="1" applyAlignment="1">
      <alignment horizontal="center"/>
    </xf>
    <xf numFmtId="0" fontId="3" fillId="0" borderId="74" xfId="0" applyFont="1" applyBorder="1" applyAlignment="1">
      <alignment horizontal="left"/>
    </xf>
    <xf numFmtId="0" fontId="0" fillId="0" borderId="75" xfId="0" applyBorder="1" applyAlignment="1">
      <alignment horizontal="left"/>
    </xf>
    <xf numFmtId="0" fontId="0" fillId="0" borderId="76" xfId="0" applyBorder="1" applyAlignment="1">
      <alignment horizontal="left"/>
    </xf>
    <xf numFmtId="0" fontId="2" fillId="0" borderId="79" xfId="0" applyFont="1" applyBorder="1"/>
    <xf numFmtId="0" fontId="0" fillId="0" borderId="80" xfId="0" applyBorder="1"/>
    <xf numFmtId="0" fontId="0" fillId="0" borderId="81" xfId="0" applyBorder="1"/>
    <xf numFmtId="0" fontId="2" fillId="0" borderId="0" xfId="0" applyFont="1" applyAlignment="1">
      <alignment wrapText="1"/>
    </xf>
    <xf numFmtId="0" fontId="0" fillId="0" borderId="0" xfId="0" applyAlignment="1">
      <alignment wrapText="1"/>
    </xf>
    <xf numFmtId="0" fontId="2" fillId="0" borderId="0" xfId="0" applyFont="1" applyAlignment="1">
      <alignment horizontal="left" wrapText="1"/>
    </xf>
    <xf numFmtId="0" fontId="0" fillId="0" borderId="0" xfId="0" applyAlignment="1">
      <alignment horizontal="left" wrapText="1"/>
    </xf>
    <xf numFmtId="0" fontId="13" fillId="0" borderId="62" xfId="0" applyFont="1" applyBorder="1" applyAlignment="1">
      <alignment horizontal="left" vertical="top"/>
    </xf>
    <xf numFmtId="0" fontId="13" fillId="0" borderId="22" xfId="0" applyFont="1" applyBorder="1" applyAlignment="1">
      <alignment horizontal="left" vertical="top"/>
    </xf>
    <xf numFmtId="0" fontId="13" fillId="0" borderId="42" xfId="0" applyFont="1" applyBorder="1" applyAlignment="1">
      <alignment horizontal="left" vertical="top"/>
    </xf>
    <xf numFmtId="0" fontId="13" fillId="3" borderId="18" xfId="0" applyFont="1" applyFill="1" applyBorder="1" applyAlignment="1">
      <alignment horizontal="left"/>
    </xf>
    <xf numFmtId="0" fontId="13" fillId="3" borderId="1" xfId="0" applyFont="1" applyFill="1" applyBorder="1" applyAlignment="1">
      <alignment horizontal="left"/>
    </xf>
    <xf numFmtId="0" fontId="13" fillId="3" borderId="19" xfId="0" applyFont="1" applyFill="1" applyBorder="1" applyAlignment="1">
      <alignment horizontal="left"/>
    </xf>
    <xf numFmtId="0" fontId="13" fillId="0" borderId="18" xfId="0" applyFont="1" applyBorder="1" applyAlignment="1">
      <alignment horizontal="left"/>
    </xf>
    <xf numFmtId="0" fontId="13" fillId="0" borderId="1" xfId="0" applyFont="1" applyBorder="1" applyAlignment="1">
      <alignment horizontal="left"/>
    </xf>
    <xf numFmtId="0" fontId="13" fillId="0" borderId="19" xfId="0" applyFont="1" applyBorder="1" applyAlignment="1">
      <alignment horizontal="left"/>
    </xf>
    <xf numFmtId="0" fontId="12" fillId="0" borderId="41" xfId="0" applyFont="1" applyBorder="1" applyAlignment="1">
      <alignment horizontal="left" wrapText="1"/>
    </xf>
    <xf numFmtId="0" fontId="12" fillId="0" borderId="20" xfId="0" applyFont="1" applyBorder="1" applyAlignment="1">
      <alignment horizontal="left" wrapText="1"/>
    </xf>
    <xf numFmtId="0" fontId="12" fillId="0" borderId="38" xfId="0" applyFont="1" applyBorder="1" applyAlignment="1">
      <alignment horizontal="left" wrapText="1"/>
    </xf>
    <xf numFmtId="0" fontId="13" fillId="0" borderId="41" xfId="0" applyFont="1" applyBorder="1" applyAlignment="1">
      <alignment horizontal="center"/>
    </xf>
    <xf numFmtId="0" fontId="13" fillId="0" borderId="18" xfId="0" applyFont="1" applyBorder="1" applyAlignment="1">
      <alignment horizontal="left" vertical="center"/>
    </xf>
    <xf numFmtId="0" fontId="0" fillId="0" borderId="1" xfId="0" applyBorder="1" applyAlignment="1">
      <alignment horizontal="left" vertical="center"/>
    </xf>
    <xf numFmtId="0" fontId="0" fillId="0" borderId="19" xfId="0" applyBorder="1" applyAlignment="1">
      <alignment horizontal="left" vertical="center"/>
    </xf>
    <xf numFmtId="0" fontId="0" fillId="0" borderId="1" xfId="0" applyBorder="1"/>
    <xf numFmtId="0" fontId="0" fillId="0" borderId="19" xfId="0" applyBorder="1"/>
    <xf numFmtId="0" fontId="2" fillId="0" borderId="0" xfId="0" applyFont="1" applyBorder="1" applyAlignment="1">
      <alignment wrapText="1"/>
    </xf>
    <xf numFmtId="0" fontId="2" fillId="0" borderId="0" xfId="0" applyFont="1" applyBorder="1" applyAlignment="1">
      <alignment horizontal="center" vertical="center" wrapText="1"/>
    </xf>
    <xf numFmtId="0" fontId="2" fillId="0" borderId="0" xfId="0" applyFont="1" applyBorder="1"/>
    <xf numFmtId="0" fontId="3" fillId="0" borderId="0" xfId="0" applyFont="1" applyBorder="1" applyAlignment="1">
      <alignment horizontal="center" vertical="center" wrapText="1"/>
    </xf>
    <xf numFmtId="0" fontId="2" fillId="0" borderId="0" xfId="0" applyFont="1" applyBorder="1" applyAlignment="1">
      <alignment horizontal="center"/>
    </xf>
    <xf numFmtId="6" fontId="2" fillId="0" borderId="0" xfId="0" applyNumberFormat="1" applyFont="1" applyBorder="1" applyAlignment="1">
      <alignment horizontal="center"/>
    </xf>
    <xf numFmtId="0" fontId="2" fillId="0" borderId="0" xfId="0" applyFont="1" applyBorder="1" applyAlignment="1">
      <alignment horizontal="center" vertical="center"/>
    </xf>
    <xf numFmtId="173" fontId="2" fillId="0" borderId="0" xfId="5" applyNumberFormat="1" applyFont="1" applyBorder="1" applyAlignment="1">
      <alignment horizontal="center" vertical="center"/>
    </xf>
    <xf numFmtId="0" fontId="19" fillId="0" borderId="41" xfId="4" quotePrefix="1" applyFont="1" applyBorder="1"/>
    <xf numFmtId="0" fontId="0" fillId="0" borderId="43" xfId="0" applyBorder="1"/>
    <xf numFmtId="0" fontId="0" fillId="0" borderId="0" xfId="0" applyBorder="1"/>
    <xf numFmtId="0" fontId="0" fillId="0" borderId="25" xfId="0" applyBorder="1"/>
    <xf numFmtId="0" fontId="13" fillId="0" borderId="0" xfId="0" applyFont="1" applyBorder="1" applyAlignment="1">
      <alignment horizontal="center" vertical="center"/>
    </xf>
    <xf numFmtId="0" fontId="12" fillId="0" borderId="0" xfId="0" applyFont="1" applyBorder="1"/>
  </cellXfs>
  <cellStyles count="18">
    <cellStyle name="Comma" xfId="1" builtinId="3"/>
    <cellStyle name="Comma 2" xfId="11" xr:uid="{00000000-0005-0000-0000-000001000000}"/>
    <cellStyle name="Comma 3" xfId="14" xr:uid="{00000000-0005-0000-0000-000002000000}"/>
    <cellStyle name="Comma 4" xfId="17" xr:uid="{00000000-0005-0000-0000-000003000000}"/>
    <cellStyle name="Currency" xfId="2" builtinId="4"/>
    <cellStyle name="Currency 2" xfId="12" xr:uid="{00000000-0005-0000-0000-000005000000}"/>
    <cellStyle name="Currency 3" xfId="15" xr:uid="{00000000-0005-0000-0000-000006000000}"/>
    <cellStyle name="Currency 4" xfId="9" xr:uid="{00000000-0005-0000-0000-000007000000}"/>
    <cellStyle name="Currency 5" xfId="10" xr:uid="{00000000-0005-0000-0000-000008000000}"/>
    <cellStyle name="Normal" xfId="0" builtinId="0"/>
    <cellStyle name="Normal 2" xfId="3" xr:uid="{00000000-0005-0000-0000-00000A000000}"/>
    <cellStyle name="Normal 2 2" xfId="4" xr:uid="{00000000-0005-0000-0000-00000B000000}"/>
    <cellStyle name="Normal 2 3" xfId="16" xr:uid="{00000000-0005-0000-0000-00000C000000}"/>
    <cellStyle name="Normal 3" xfId="6" xr:uid="{00000000-0005-0000-0000-00000D000000}"/>
    <cellStyle name="Normal 3 2" xfId="13" xr:uid="{00000000-0005-0000-0000-00000E000000}"/>
    <cellStyle name="Normal 4" xfId="8" xr:uid="{00000000-0005-0000-0000-00000F000000}"/>
    <cellStyle name="Percent" xfId="5" builtinId="5"/>
    <cellStyle name="Percent 2" xfId="7" xr:uid="{00000000-0005-0000-0000-00001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4">
    <tabColor theme="9" tint="-0.249977111117893"/>
    <pageSetUpPr fitToPage="1"/>
  </sheetPr>
  <dimension ref="B1:I41"/>
  <sheetViews>
    <sheetView tabSelected="1" view="pageBreakPreview" zoomScale="110" zoomScaleNormal="100" zoomScaleSheetLayoutView="110" workbookViewId="0">
      <pane ySplit="5" topLeftCell="A6" activePane="bottomLeft" state="frozen"/>
      <selection activeCell="E15" sqref="E15"/>
      <selection pane="bottomLeft" activeCell="F18" sqref="F18"/>
    </sheetView>
  </sheetViews>
  <sheetFormatPr defaultRowHeight="12.75" x14ac:dyDescent="0.2"/>
  <cols>
    <col min="2" max="2" width="55.42578125" customWidth="1"/>
    <col min="3" max="3" width="21.42578125" customWidth="1"/>
    <col min="4" max="4" width="13.28515625" customWidth="1"/>
    <col min="5" max="5" width="14.28515625" style="14" customWidth="1"/>
    <col min="6" max="6" width="76.7109375" style="6" bestFit="1" customWidth="1"/>
    <col min="9" max="9" width="10.140625" bestFit="1" customWidth="1"/>
  </cols>
  <sheetData>
    <row r="1" spans="2:9" s="38" customFormat="1" ht="21" customHeight="1" x14ac:dyDescent="0.2">
      <c r="B1" s="384" t="s">
        <v>37</v>
      </c>
      <c r="C1" s="385"/>
      <c r="E1" s="138"/>
      <c r="F1" s="22"/>
    </row>
    <row r="2" spans="2:9" s="38" customFormat="1" ht="21" customHeight="1" x14ac:dyDescent="0.2">
      <c r="B2" s="380" t="s">
        <v>332</v>
      </c>
      <c r="C2" s="381"/>
      <c r="E2" s="138"/>
      <c r="F2" s="22"/>
    </row>
    <row r="3" spans="2:9" ht="13.5" thickBot="1" x14ac:dyDescent="0.25">
      <c r="B3" s="382" t="s">
        <v>334</v>
      </c>
      <c r="C3" s="383"/>
      <c r="D3" s="24"/>
      <c r="E3" s="24"/>
      <c r="F3" s="24"/>
      <c r="G3" s="24"/>
      <c r="H3" s="24"/>
      <c r="I3" s="24"/>
    </row>
    <row r="4" spans="2:9" ht="13.5" thickBot="1" x14ac:dyDescent="0.25">
      <c r="B4" s="149"/>
      <c r="C4" s="176"/>
    </row>
    <row r="5" spans="2:9" s="6" customFormat="1" ht="30" customHeight="1" thickBot="1" x14ac:dyDescent="0.25">
      <c r="B5" s="49" t="s">
        <v>0</v>
      </c>
      <c r="C5" s="51" t="s">
        <v>35</v>
      </c>
      <c r="D5" s="435"/>
      <c r="E5" s="436"/>
      <c r="F5" s="175"/>
    </row>
    <row r="6" spans="2:9" s="6" customFormat="1" ht="27" customHeight="1" thickBot="1" x14ac:dyDescent="0.25">
      <c r="B6" s="295" t="s">
        <v>79</v>
      </c>
      <c r="C6" s="356"/>
      <c r="D6" s="437"/>
      <c r="E6" s="438"/>
      <c r="F6" s="175"/>
    </row>
    <row r="7" spans="2:9" s="6" customFormat="1" x14ac:dyDescent="0.2">
      <c r="B7" s="294" t="s">
        <v>182</v>
      </c>
      <c r="C7" s="357">
        <f>ROUND('T2 Cost Estimate Details'!H11,-2)</f>
        <v>6300</v>
      </c>
      <c r="D7" s="439"/>
      <c r="E7" s="439"/>
    </row>
    <row r="8" spans="2:9" s="6" customFormat="1" x14ac:dyDescent="0.2">
      <c r="B8" s="48" t="s">
        <v>73</v>
      </c>
      <c r="C8" s="358">
        <f>ROUND('T2 Cost Estimate Details'!H31,-2)</f>
        <v>92200</v>
      </c>
      <c r="D8" s="439"/>
      <c r="E8" s="439"/>
    </row>
    <row r="9" spans="2:9" s="6" customFormat="1" x14ac:dyDescent="0.2">
      <c r="B9" s="48" t="s">
        <v>74</v>
      </c>
      <c r="C9" s="358">
        <f>'T2 Cost Estimate Details'!H55</f>
        <v>305769.67000000004</v>
      </c>
      <c r="D9" s="439"/>
      <c r="E9" s="439"/>
    </row>
    <row r="10" spans="2:9" s="6" customFormat="1" x14ac:dyDescent="0.2">
      <c r="B10" s="48" t="s">
        <v>75</v>
      </c>
      <c r="C10" s="358">
        <f>'T2 Cost Estimate Details'!H64</f>
        <v>0</v>
      </c>
      <c r="D10" s="439"/>
      <c r="E10" s="439"/>
    </row>
    <row r="11" spans="2:9" s="6" customFormat="1" x14ac:dyDescent="0.2">
      <c r="B11" s="48" t="s">
        <v>76</v>
      </c>
      <c r="C11" s="358">
        <f>'T2 Cost Estimate Details'!H88</f>
        <v>0</v>
      </c>
      <c r="D11" s="439"/>
      <c r="E11" s="439"/>
    </row>
    <row r="12" spans="2:9" s="6" customFormat="1" x14ac:dyDescent="0.2">
      <c r="B12" s="48" t="s">
        <v>267</v>
      </c>
      <c r="C12" s="358">
        <f>'T2 Cost Estimate Details'!H72</f>
        <v>0</v>
      </c>
      <c r="D12" s="440"/>
      <c r="E12" s="439"/>
    </row>
    <row r="13" spans="2:9" s="6" customFormat="1" x14ac:dyDescent="0.2">
      <c r="B13" s="48" t="s">
        <v>91</v>
      </c>
      <c r="C13" s="358">
        <f>ROUND('T2 Cost Estimate Details'!H99,-2)</f>
        <v>14500</v>
      </c>
      <c r="D13" s="439"/>
      <c r="E13" s="439"/>
    </row>
    <row r="14" spans="2:9" s="6" customFormat="1" x14ac:dyDescent="0.2">
      <c r="B14" s="48" t="s">
        <v>92</v>
      </c>
      <c r="C14" s="358">
        <f>'T2 Cost Estimate Details'!H104</f>
        <v>6000</v>
      </c>
      <c r="D14" s="439"/>
      <c r="E14" s="439"/>
    </row>
    <row r="15" spans="2:9" s="6" customFormat="1" ht="13.5" thickBot="1" x14ac:dyDescent="0.25">
      <c r="B15" s="296" t="s">
        <v>77</v>
      </c>
      <c r="C15" s="359">
        <f>'T2 Cost Estimate Details'!H112</f>
        <v>35270.333333333336</v>
      </c>
      <c r="D15" s="439"/>
      <c r="E15" s="439"/>
    </row>
    <row r="16" spans="2:9" s="43" customFormat="1" ht="15.75" thickTop="1" thickBot="1" x14ac:dyDescent="0.25">
      <c r="B16" s="94" t="s">
        <v>55</v>
      </c>
      <c r="C16" s="360">
        <f>ROUND(SUM(C7:C15),-2)</f>
        <v>460000</v>
      </c>
      <c r="D16" s="441"/>
      <c r="E16" s="441"/>
    </row>
    <row r="17" spans="2:6" s="43" customFormat="1" ht="25.5" customHeight="1" thickBot="1" x14ac:dyDescent="0.25">
      <c r="B17" s="210" t="s">
        <v>78</v>
      </c>
      <c r="C17" s="361"/>
      <c r="D17" s="441"/>
      <c r="E17" s="441"/>
    </row>
    <row r="18" spans="2:6" s="43" customFormat="1" ht="14.25" x14ac:dyDescent="0.2">
      <c r="B18" s="212" t="s">
        <v>322</v>
      </c>
      <c r="C18" s="358">
        <f>ROUND('T2 Cost Estimate Details'!H122,-2)</f>
        <v>425200</v>
      </c>
      <c r="D18" s="441"/>
      <c r="E18" s="441"/>
    </row>
    <row r="19" spans="2:6" s="43" customFormat="1" ht="14.25" x14ac:dyDescent="0.2">
      <c r="B19" s="48" t="s">
        <v>323</v>
      </c>
      <c r="C19" s="358">
        <f>'T3 Monit&amp;Report Details'!I10</f>
        <v>217600</v>
      </c>
      <c r="D19" s="441"/>
      <c r="E19" s="441"/>
    </row>
    <row r="20" spans="2:6" s="43" customFormat="1" ht="14.25" x14ac:dyDescent="0.2">
      <c r="B20" s="48" t="s">
        <v>340</v>
      </c>
      <c r="C20" s="358">
        <f>'T2 Cost Estimate Details'!H131</f>
        <v>136400</v>
      </c>
      <c r="D20" s="441"/>
      <c r="E20" s="441"/>
    </row>
    <row r="21" spans="2:6" s="43" customFormat="1" ht="14.25" x14ac:dyDescent="0.2">
      <c r="B21" s="213" t="s">
        <v>172</v>
      </c>
      <c r="C21" s="362">
        <f>'T3 Monit&amp;Report Details'!I18</f>
        <v>153950</v>
      </c>
      <c r="D21" s="441"/>
      <c r="E21" s="441"/>
    </row>
    <row r="22" spans="2:6" s="43" customFormat="1" ht="15" thickBot="1" x14ac:dyDescent="0.25">
      <c r="B22" s="297" t="s">
        <v>179</v>
      </c>
      <c r="C22" s="359">
        <f>ROUND('T2 Cost Estimate Details'!H139+'T2 Cost Estimate Details'!H143+'T2 Cost Estimate Details'!H147+'T2 Cost Estimate Details'!H151,-2)</f>
        <v>55200</v>
      </c>
      <c r="D22" s="441"/>
      <c r="E22" s="441"/>
    </row>
    <row r="23" spans="2:6" s="43" customFormat="1" ht="15.75" thickTop="1" thickBot="1" x14ac:dyDescent="0.25">
      <c r="B23" s="151" t="s">
        <v>80</v>
      </c>
      <c r="C23" s="363">
        <f>SUM(C18:C22)</f>
        <v>988350</v>
      </c>
      <c r="D23" s="441"/>
      <c r="E23" s="441"/>
    </row>
    <row r="24" spans="2:6" s="43" customFormat="1" ht="21" customHeight="1" thickBot="1" x14ac:dyDescent="0.25">
      <c r="B24" s="214" t="s">
        <v>81</v>
      </c>
      <c r="C24" s="360"/>
      <c r="D24" s="441"/>
      <c r="E24" s="441"/>
    </row>
    <row r="25" spans="2:6" s="43" customFormat="1" ht="14.25" x14ac:dyDescent="0.2">
      <c r="B25" s="192" t="s">
        <v>199</v>
      </c>
      <c r="C25" s="364">
        <f>ROUND(C16*0.2,-2)</f>
        <v>92000</v>
      </c>
      <c r="D25" s="441"/>
      <c r="E25" s="441"/>
    </row>
    <row r="26" spans="2:6" s="43" customFormat="1" ht="14.25" x14ac:dyDescent="0.2">
      <c r="B26" s="167" t="s">
        <v>333</v>
      </c>
      <c r="C26" s="358">
        <v>0</v>
      </c>
      <c r="D26" s="441"/>
      <c r="E26" s="439"/>
    </row>
    <row r="27" spans="2:6" s="6" customFormat="1" ht="13.5" thickBot="1" x14ac:dyDescent="0.25">
      <c r="B27" s="355" t="s">
        <v>338</v>
      </c>
      <c r="C27" s="365">
        <v>200000</v>
      </c>
      <c r="D27" s="441"/>
      <c r="E27" s="439"/>
    </row>
    <row r="28" spans="2:6" s="6" customFormat="1" ht="14.25" thickTop="1" thickBot="1" x14ac:dyDescent="0.25">
      <c r="B28" s="312" t="s">
        <v>156</v>
      </c>
      <c r="C28" s="366">
        <f>SUM(C25:C27)</f>
        <v>292000</v>
      </c>
      <c r="D28" s="439"/>
      <c r="E28" s="439"/>
    </row>
    <row r="29" spans="2:6" s="44" customFormat="1" ht="26.25" customHeight="1" thickBot="1" x14ac:dyDescent="0.25">
      <c r="B29" s="151" t="s">
        <v>211</v>
      </c>
      <c r="C29" s="363">
        <f>ROUND(C16+C23+C28, -2)</f>
        <v>1740400</v>
      </c>
      <c r="D29" s="441"/>
      <c r="E29" s="442"/>
    </row>
    <row r="30" spans="2:6" x14ac:dyDescent="0.2">
      <c r="B30" s="328" t="s">
        <v>341</v>
      </c>
      <c r="C30" s="367"/>
      <c r="D30" s="437"/>
      <c r="E30" s="439"/>
    </row>
    <row r="31" spans="2:6" ht="13.5" thickBot="1" x14ac:dyDescent="0.25">
      <c r="B31" s="443" t="s">
        <v>336</v>
      </c>
      <c r="C31" s="368"/>
      <c r="D31" s="437"/>
      <c r="E31" s="439"/>
      <c r="F31" s="174"/>
    </row>
    <row r="32" spans="2:6" x14ac:dyDescent="0.2">
      <c r="B32" s="40"/>
      <c r="C32" s="39"/>
    </row>
    <row r="33" spans="2:3" x14ac:dyDescent="0.2">
      <c r="B33" s="164"/>
      <c r="C33" s="165"/>
    </row>
    <row r="34" spans="2:3" ht="14.25" customHeight="1" x14ac:dyDescent="0.2">
      <c r="B34" s="379"/>
      <c r="C34" s="379"/>
    </row>
    <row r="35" spans="2:3" x14ac:dyDescent="0.2">
      <c r="B35" s="379"/>
      <c r="C35" s="379"/>
    </row>
    <row r="36" spans="2:3" x14ac:dyDescent="0.2">
      <c r="B36" s="164"/>
      <c r="C36" s="165"/>
    </row>
    <row r="37" spans="2:3" x14ac:dyDescent="0.2">
      <c r="B37" s="164"/>
      <c r="C37" s="165"/>
    </row>
    <row r="38" spans="2:3" x14ac:dyDescent="0.2">
      <c r="B38" s="166"/>
      <c r="C38" s="166"/>
    </row>
    <row r="39" spans="2:3" x14ac:dyDescent="0.2">
      <c r="B39" s="166"/>
      <c r="C39" s="166"/>
    </row>
    <row r="40" spans="2:3" x14ac:dyDescent="0.2">
      <c r="B40" s="166"/>
      <c r="C40" s="166"/>
    </row>
    <row r="41" spans="2:3" x14ac:dyDescent="0.2">
      <c r="B41" s="166"/>
      <c r="C41" s="166"/>
    </row>
  </sheetData>
  <customSheetViews>
    <customSheetView guid="{75DBF38E-DFBC-4022-9776-42B50461E60D}" showPageBreaks="1" fitToPage="1" printArea="1" hiddenRows="1" view="pageBreakPreview">
      <pane ySplit="6" topLeftCell="A7" activePane="bottomLeft" state="frozen"/>
      <selection pane="bottomLeft" activeCell="D10" sqref="D10"/>
      <pageMargins left="0.19685039370078741" right="0.19685039370078741" top="0.19685039370078741" bottom="0.19685039370078741" header="0.39370078740157483" footer="0.51181102362204722"/>
      <printOptions horizontalCentered="1"/>
      <pageSetup scale="91" orientation="portrait" r:id="rId1"/>
      <headerFooter alignWithMargins="0"/>
    </customSheetView>
  </customSheetViews>
  <mergeCells count="4">
    <mergeCell ref="B34:C35"/>
    <mergeCell ref="B2:C2"/>
    <mergeCell ref="B3:C3"/>
    <mergeCell ref="B1:C1"/>
  </mergeCells>
  <printOptions horizontalCentered="1"/>
  <pageMargins left="0.19685039370078741" right="0.19685039370078741" top="0.19685039370078741" bottom="0.19685039370078741" header="0.39370078740157483" footer="0.51181102362204722"/>
  <pageSetup orientation="portrait" r:id="rId2"/>
  <headerFooter differentFirst="1" alignWithMargins="0">
    <oddHeader>&amp;CDRAFT - FOR KIA REVIEW ONLY</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FF00"/>
    <pageSetUpPr fitToPage="1"/>
  </sheetPr>
  <dimension ref="B1:AA219"/>
  <sheetViews>
    <sheetView showGridLines="0" view="pageBreakPreview" topLeftCell="A58" zoomScale="80" zoomScaleNormal="100" zoomScaleSheetLayoutView="80" workbookViewId="0">
      <selection activeCell="H88" sqref="H88"/>
    </sheetView>
  </sheetViews>
  <sheetFormatPr defaultRowHeight="15" x14ac:dyDescent="0.2"/>
  <cols>
    <col min="1" max="1" width="8" customWidth="1"/>
    <col min="2" max="2" width="6.42578125" style="4" customWidth="1"/>
    <col min="3" max="3" width="60.28515625" style="5" customWidth="1"/>
    <col min="4" max="4" width="9.28515625" customWidth="1"/>
    <col min="5" max="5" width="10.42578125" style="35" customWidth="1"/>
    <col min="6" max="6" width="12.7109375" style="3" bestFit="1" customWidth="1"/>
    <col min="7" max="7" width="13.7109375" style="3" customWidth="1"/>
    <col min="8" max="8" width="15" customWidth="1"/>
    <col min="9" max="10" width="10.85546875" hidden="1" customWidth="1"/>
    <col min="11" max="11" width="9.140625" style="6"/>
    <col min="12" max="12" width="133.7109375" style="6" customWidth="1"/>
    <col min="15" max="15" width="9.85546875" bestFit="1" customWidth="1"/>
    <col min="16" max="16" width="7" customWidth="1"/>
    <col min="17" max="17" width="12.7109375" bestFit="1" customWidth="1"/>
    <col min="18" max="18" width="15.85546875" bestFit="1" customWidth="1"/>
    <col min="19" max="19" width="11.28515625" customWidth="1"/>
    <col min="21" max="21" width="11.42578125" bestFit="1" customWidth="1"/>
  </cols>
  <sheetData>
    <row r="1" spans="2:27" ht="15.75" thickBot="1" x14ac:dyDescent="0.25"/>
    <row r="2" spans="2:27" s="38" customFormat="1" ht="21" customHeight="1" x14ac:dyDescent="0.2">
      <c r="B2" s="384" t="s">
        <v>36</v>
      </c>
      <c r="C2" s="388"/>
      <c r="D2" s="388"/>
      <c r="E2" s="388"/>
      <c r="F2" s="388"/>
      <c r="G2" s="388"/>
      <c r="H2" s="389"/>
      <c r="K2" s="22"/>
      <c r="L2" s="22"/>
      <c r="Q2" s="22"/>
    </row>
    <row r="3" spans="2:27" s="38" customFormat="1" ht="21" customHeight="1" x14ac:dyDescent="0.2">
      <c r="B3" s="390" t="s">
        <v>188</v>
      </c>
      <c r="C3" s="391"/>
      <c r="D3" s="391"/>
      <c r="E3" s="391"/>
      <c r="F3" s="391"/>
      <c r="G3" s="391"/>
      <c r="H3" s="392"/>
      <c r="K3" s="22"/>
      <c r="L3" s="22"/>
      <c r="Q3" s="22"/>
    </row>
    <row r="4" spans="2:27" ht="13.5" thickBot="1" x14ac:dyDescent="0.25">
      <c r="B4" s="382" t="s">
        <v>334</v>
      </c>
      <c r="C4" s="399"/>
      <c r="D4" s="399"/>
      <c r="E4" s="399"/>
      <c r="F4" s="399"/>
      <c r="G4" s="399"/>
      <c r="H4" s="400"/>
    </row>
    <row r="5" spans="2:27" ht="27.75" customHeight="1" thickBot="1" x14ac:dyDescent="0.25">
      <c r="B5" s="113" t="s">
        <v>16</v>
      </c>
      <c r="C5" s="50" t="s">
        <v>17</v>
      </c>
      <c r="D5" s="50" t="s">
        <v>19</v>
      </c>
      <c r="E5" s="95" t="s">
        <v>20</v>
      </c>
      <c r="F5" s="50" t="s">
        <v>106</v>
      </c>
      <c r="G5" s="220" t="s">
        <v>47</v>
      </c>
      <c r="H5" s="51" t="s">
        <v>117</v>
      </c>
      <c r="I5" s="6"/>
      <c r="J5" s="6"/>
      <c r="L5" s="334" t="s">
        <v>39</v>
      </c>
    </row>
    <row r="6" spans="2:27" ht="16.5" thickBot="1" x14ac:dyDescent="0.25">
      <c r="B6" s="401" t="s">
        <v>107</v>
      </c>
      <c r="C6" s="402"/>
      <c r="D6" s="221"/>
      <c r="E6" s="222"/>
      <c r="F6" s="221"/>
      <c r="G6" s="221"/>
      <c r="H6" s="223"/>
      <c r="I6" s="6"/>
      <c r="J6" s="6"/>
      <c r="L6" s="37"/>
    </row>
    <row r="7" spans="2:27" s="6" customFormat="1" ht="13.5" customHeight="1" x14ac:dyDescent="0.2">
      <c r="B7" s="224" t="s">
        <v>196</v>
      </c>
      <c r="C7" s="76"/>
      <c r="D7" s="77"/>
      <c r="E7" s="78"/>
      <c r="F7" s="77"/>
      <c r="G7" s="298"/>
      <c r="H7" s="79"/>
      <c r="L7" s="7"/>
      <c r="Q7" s="5"/>
      <c r="R7" s="5"/>
      <c r="S7" s="5"/>
      <c r="T7" s="5"/>
      <c r="U7" s="5"/>
      <c r="V7" s="5"/>
      <c r="W7" s="5"/>
      <c r="X7" s="5"/>
      <c r="Y7" s="5"/>
      <c r="Z7" s="5"/>
      <c r="AA7" s="5"/>
    </row>
    <row r="8" spans="2:27" s="6" customFormat="1" ht="13.5" customHeight="1" x14ac:dyDescent="0.2">
      <c r="B8" s="225"/>
      <c r="C8" s="300" t="s">
        <v>191</v>
      </c>
      <c r="D8" s="104"/>
      <c r="E8" s="135"/>
      <c r="F8" s="261"/>
      <c r="G8" s="265"/>
      <c r="H8" s="266"/>
      <c r="L8" s="7"/>
      <c r="Q8" s="5"/>
      <c r="R8" s="5"/>
      <c r="S8" s="5"/>
      <c r="T8" s="5"/>
      <c r="U8" s="5"/>
      <c r="V8" s="5"/>
      <c r="W8" s="5"/>
      <c r="X8" s="5"/>
      <c r="Y8" s="5"/>
      <c r="Z8" s="5"/>
      <c r="AA8" s="5"/>
    </row>
    <row r="9" spans="2:27" s="6" customFormat="1" ht="27" customHeight="1" x14ac:dyDescent="0.2">
      <c r="B9" s="227"/>
      <c r="C9" s="154" t="s">
        <v>307</v>
      </c>
      <c r="D9" s="338">
        <f>4570*0.1</f>
        <v>457</v>
      </c>
      <c r="E9" s="135" t="s">
        <v>50</v>
      </c>
      <c r="F9" s="263">
        <f>'T5 Task Unit Costs'!D23</f>
        <v>13.75</v>
      </c>
      <c r="G9" s="265">
        <f>D9*F9</f>
        <v>6283.75</v>
      </c>
      <c r="H9" s="266"/>
      <c r="L9" s="191" t="s">
        <v>298</v>
      </c>
      <c r="Q9" s="5"/>
      <c r="R9" s="5"/>
      <c r="S9" s="5"/>
      <c r="T9" s="5"/>
      <c r="U9" s="5"/>
      <c r="V9" s="5"/>
      <c r="W9" s="5"/>
      <c r="X9" s="5"/>
      <c r="Y9" s="5"/>
      <c r="Z9" s="5"/>
      <c r="AA9" s="5"/>
    </row>
    <row r="10" spans="2:27" s="6" customFormat="1" ht="13.5" customHeight="1" x14ac:dyDescent="0.2">
      <c r="B10" s="227"/>
      <c r="C10" s="88"/>
      <c r="D10" s="45"/>
      <c r="E10" s="82"/>
      <c r="F10" s="264"/>
      <c r="G10" s="284"/>
      <c r="H10" s="268"/>
      <c r="L10" s="7"/>
      <c r="Q10" s="5"/>
      <c r="R10" s="5"/>
      <c r="S10" s="5"/>
      <c r="T10" s="5"/>
      <c r="U10" s="5"/>
      <c r="V10" s="5"/>
      <c r="W10" s="5"/>
      <c r="X10" s="5"/>
      <c r="Y10" s="5"/>
      <c r="Z10" s="5"/>
      <c r="AA10" s="5"/>
    </row>
    <row r="11" spans="2:27" ht="13.5" customHeight="1" thickBot="1" x14ac:dyDescent="0.25">
      <c r="B11" s="229"/>
      <c r="C11" s="230"/>
      <c r="D11" s="152"/>
      <c r="E11" s="269"/>
      <c r="F11" s="270" t="s">
        <v>1</v>
      </c>
      <c r="G11" s="271"/>
      <c r="H11" s="272">
        <f>SUM(G8:G10)</f>
        <v>6283.75</v>
      </c>
      <c r="I11" s="6"/>
      <c r="J11" s="6"/>
      <c r="Q11" s="7"/>
      <c r="R11" s="42" t="s">
        <v>27</v>
      </c>
      <c r="S11" s="42"/>
      <c r="T11" s="8" t="s">
        <v>26</v>
      </c>
      <c r="U11" s="8" t="s">
        <v>28</v>
      </c>
      <c r="V11" s="6"/>
      <c r="W11" s="5"/>
      <c r="X11" s="5"/>
      <c r="Y11" s="5"/>
      <c r="Z11" s="5"/>
      <c r="AA11" s="5"/>
    </row>
    <row r="12" spans="2:27" ht="13.5" customHeight="1" x14ac:dyDescent="0.2">
      <c r="B12" s="235" t="s">
        <v>108</v>
      </c>
      <c r="C12" s="76"/>
      <c r="D12" s="77"/>
      <c r="E12" s="78"/>
      <c r="F12" s="77"/>
      <c r="G12" s="298"/>
      <c r="H12" s="79"/>
      <c r="I12" s="6"/>
      <c r="J12" s="6"/>
      <c r="L12" s="7"/>
      <c r="Q12" s="6"/>
      <c r="R12" s="219"/>
      <c r="S12" s="219"/>
      <c r="T12" s="14"/>
      <c r="U12" s="14"/>
      <c r="V12" s="6"/>
      <c r="W12" s="5"/>
      <c r="X12" s="5"/>
      <c r="Y12" s="5"/>
      <c r="Z12" s="5"/>
      <c r="AA12" s="5"/>
    </row>
    <row r="13" spans="2:27" ht="13.5" customHeight="1" x14ac:dyDescent="0.2">
      <c r="B13" s="225"/>
      <c r="C13" s="300" t="s">
        <v>138</v>
      </c>
      <c r="D13" s="104"/>
      <c r="E13" s="135"/>
      <c r="F13" s="123"/>
      <c r="G13" s="226"/>
      <c r="H13" s="105"/>
      <c r="I13" s="6"/>
      <c r="J13" s="6"/>
      <c r="L13" s="7"/>
      <c r="Q13" s="6"/>
      <c r="R13" s="219"/>
      <c r="S13" s="219"/>
      <c r="T13" s="14"/>
      <c r="U13" s="14"/>
      <c r="V13" s="6"/>
      <c r="W13" s="5"/>
      <c r="X13" s="5"/>
      <c r="Y13" s="5"/>
      <c r="Z13" s="5"/>
      <c r="AA13" s="5"/>
    </row>
    <row r="14" spans="2:27" ht="13.5" customHeight="1" x14ac:dyDescent="0.2">
      <c r="B14" s="227"/>
      <c r="C14" s="88" t="s">
        <v>127</v>
      </c>
      <c r="D14" s="104">
        <v>1000</v>
      </c>
      <c r="E14" s="45" t="s">
        <v>50</v>
      </c>
      <c r="F14" s="354">
        <f>'T5 Task Unit Costs'!D16</f>
        <v>2.5</v>
      </c>
      <c r="G14" s="265">
        <f>D14*F14</f>
        <v>2500</v>
      </c>
      <c r="H14" s="266"/>
      <c r="I14" s="6"/>
      <c r="J14" s="6"/>
      <c r="L14" s="7" t="s">
        <v>299</v>
      </c>
      <c r="Q14" s="6"/>
      <c r="R14" s="219"/>
      <c r="S14" s="219"/>
      <c r="T14" s="14"/>
      <c r="U14" s="14"/>
      <c r="V14" s="6"/>
      <c r="W14" s="5"/>
      <c r="X14" s="5"/>
      <c r="Y14" s="5"/>
      <c r="Z14" s="5"/>
      <c r="AA14" s="5"/>
    </row>
    <row r="15" spans="2:27" ht="13.5" customHeight="1" x14ac:dyDescent="0.2">
      <c r="B15" s="227"/>
      <c r="C15" s="300" t="s">
        <v>242</v>
      </c>
      <c r="D15" s="104"/>
      <c r="E15" s="135"/>
      <c r="F15" s="261"/>
      <c r="G15" s="265"/>
      <c r="H15" s="266"/>
      <c r="I15" s="6"/>
      <c r="J15" s="6"/>
      <c r="L15" s="7"/>
      <c r="Q15" s="6"/>
      <c r="R15" s="219"/>
      <c r="S15" s="219"/>
      <c r="T15" s="14"/>
      <c r="U15" s="14"/>
      <c r="V15" s="6"/>
      <c r="W15" s="5"/>
      <c r="X15" s="5"/>
      <c r="Y15" s="5"/>
      <c r="Z15" s="5"/>
      <c r="AA15" s="5"/>
    </row>
    <row r="16" spans="2:27" ht="13.5" customHeight="1" x14ac:dyDescent="0.2">
      <c r="B16" s="227"/>
      <c r="C16" s="88" t="s">
        <v>125</v>
      </c>
      <c r="D16" s="45">
        <f>11400*0.05</f>
        <v>570</v>
      </c>
      <c r="E16" s="45" t="s">
        <v>50</v>
      </c>
      <c r="F16" s="261">
        <f>'T5 Task Unit Costs'!D8</f>
        <v>11</v>
      </c>
      <c r="G16" s="265">
        <f>D16*F16</f>
        <v>6270</v>
      </c>
      <c r="H16" s="266"/>
      <c r="I16" s="6"/>
      <c r="J16" s="6"/>
      <c r="L16" s="7" t="s">
        <v>304</v>
      </c>
      <c r="Q16" s="6"/>
      <c r="R16" s="219"/>
      <c r="S16" s="219"/>
      <c r="T16" s="14"/>
      <c r="U16" s="14"/>
      <c r="V16" s="6"/>
      <c r="W16" s="5"/>
      <c r="X16" s="5"/>
      <c r="Y16" s="5"/>
      <c r="Z16" s="5"/>
      <c r="AA16" s="5"/>
    </row>
    <row r="17" spans="2:27" ht="13.5" customHeight="1" x14ac:dyDescent="0.2">
      <c r="B17" s="227"/>
      <c r="C17" s="88" t="s">
        <v>173</v>
      </c>
      <c r="D17" s="104">
        <f>3400*0.1</f>
        <v>340</v>
      </c>
      <c r="E17" s="45" t="s">
        <v>50</v>
      </c>
      <c r="F17" s="261">
        <f>'T5 Task Unit Costs'!D8</f>
        <v>11</v>
      </c>
      <c r="G17" s="265">
        <f>D17*F17</f>
        <v>3740</v>
      </c>
      <c r="H17" s="266"/>
      <c r="I17" s="6"/>
      <c r="J17" s="6"/>
      <c r="L17" s="7" t="s">
        <v>303</v>
      </c>
      <c r="Q17" s="6"/>
      <c r="R17" s="219"/>
      <c r="S17" s="219"/>
      <c r="T17" s="14"/>
      <c r="U17" s="14"/>
      <c r="V17" s="6"/>
      <c r="W17" s="5"/>
      <c r="X17" s="5"/>
      <c r="Y17" s="5"/>
      <c r="Z17" s="5"/>
      <c r="AA17" s="5"/>
    </row>
    <row r="18" spans="2:27" ht="13.5" customHeight="1" x14ac:dyDescent="0.2">
      <c r="B18" s="227"/>
      <c r="C18" s="88" t="s">
        <v>174</v>
      </c>
      <c r="D18" s="104">
        <f>2000*0.05</f>
        <v>100</v>
      </c>
      <c r="E18" s="104" t="s">
        <v>50</v>
      </c>
      <c r="F18" s="261">
        <f>'T5 Task Unit Costs'!D8</f>
        <v>11</v>
      </c>
      <c r="G18" s="265">
        <f>D18*F18</f>
        <v>1100</v>
      </c>
      <c r="H18" s="266"/>
      <c r="I18" s="6"/>
      <c r="J18" s="6"/>
      <c r="L18" s="7" t="s">
        <v>304</v>
      </c>
      <c r="Q18" s="6"/>
      <c r="R18" s="219"/>
      <c r="S18" s="219"/>
      <c r="T18" s="14"/>
      <c r="U18" s="14"/>
      <c r="V18" s="6"/>
      <c r="W18" s="5"/>
      <c r="X18" s="5"/>
      <c r="Y18" s="5"/>
      <c r="Z18" s="5"/>
      <c r="AA18" s="5"/>
    </row>
    <row r="19" spans="2:27" ht="13.5" customHeight="1" x14ac:dyDescent="0.2">
      <c r="B19" s="227"/>
      <c r="C19" s="300" t="s">
        <v>122</v>
      </c>
      <c r="D19" s="104"/>
      <c r="E19" s="135"/>
      <c r="F19" s="261"/>
      <c r="G19" s="265"/>
      <c r="H19" s="266"/>
      <c r="I19" s="6"/>
      <c r="J19" s="6"/>
      <c r="L19" s="7"/>
      <c r="Q19" s="6"/>
      <c r="R19" s="219"/>
      <c r="S19" s="219"/>
      <c r="T19" s="14"/>
      <c r="U19" s="14"/>
      <c r="V19" s="6"/>
      <c r="W19" s="5"/>
      <c r="X19" s="5"/>
      <c r="Y19" s="5"/>
      <c r="Z19" s="5"/>
      <c r="AA19" s="5"/>
    </row>
    <row r="20" spans="2:27" ht="13.5" customHeight="1" x14ac:dyDescent="0.2">
      <c r="B20" s="227"/>
      <c r="C20" s="88" t="s">
        <v>139</v>
      </c>
      <c r="D20" s="104">
        <f>6540*0.1</f>
        <v>654</v>
      </c>
      <c r="E20" s="135" t="s">
        <v>50</v>
      </c>
      <c r="F20" s="261">
        <f>'T5 Task Unit Costs'!D18</f>
        <v>12</v>
      </c>
      <c r="G20" s="265">
        <f>D20*F20</f>
        <v>7848</v>
      </c>
      <c r="H20" s="266"/>
      <c r="I20" s="6"/>
      <c r="J20" s="6"/>
      <c r="L20" s="7" t="s">
        <v>290</v>
      </c>
      <c r="Q20" s="6"/>
      <c r="R20" s="219"/>
      <c r="S20" s="219"/>
      <c r="T20" s="14"/>
      <c r="U20" s="14"/>
      <c r="V20" s="6"/>
      <c r="W20" s="5"/>
      <c r="X20" s="5"/>
      <c r="Y20" s="5"/>
      <c r="Z20" s="5"/>
      <c r="AA20" s="5"/>
    </row>
    <row r="21" spans="2:27" ht="13.5" customHeight="1" x14ac:dyDescent="0.2">
      <c r="B21" s="227"/>
      <c r="C21" s="300" t="s">
        <v>165</v>
      </c>
      <c r="D21" s="104"/>
      <c r="E21" s="135"/>
      <c r="F21" s="261"/>
      <c r="G21" s="265"/>
      <c r="H21" s="266"/>
      <c r="I21" s="6"/>
      <c r="J21" s="6"/>
      <c r="L21" s="7"/>
      <c r="Q21" s="6"/>
      <c r="R21" s="219"/>
      <c r="S21" s="219"/>
      <c r="T21" s="14"/>
      <c r="U21" s="14"/>
      <c r="V21" s="6"/>
      <c r="W21" s="5"/>
      <c r="X21" s="5"/>
      <c r="Y21" s="5"/>
      <c r="Z21" s="5"/>
      <c r="AA21" s="5"/>
    </row>
    <row r="22" spans="2:27" ht="13.5" customHeight="1" x14ac:dyDescent="0.2">
      <c r="B22" s="227"/>
      <c r="C22" s="88" t="s">
        <v>134</v>
      </c>
      <c r="D22" s="104">
        <v>2485</v>
      </c>
      <c r="E22" s="82" t="s">
        <v>50</v>
      </c>
      <c r="F22" s="263">
        <f>'T5 Task Unit Costs'!D9</f>
        <v>9</v>
      </c>
      <c r="G22" s="265">
        <f>D22*F22</f>
        <v>22365</v>
      </c>
      <c r="H22" s="266"/>
      <c r="I22" s="6"/>
      <c r="J22" s="6"/>
      <c r="L22" s="7" t="s">
        <v>305</v>
      </c>
      <c r="Q22" s="6"/>
      <c r="R22" s="219"/>
      <c r="S22" s="219"/>
      <c r="T22" s="14"/>
      <c r="U22" s="14"/>
      <c r="V22" s="6"/>
      <c r="W22" s="5"/>
      <c r="X22" s="5"/>
      <c r="Y22" s="5"/>
      <c r="Z22" s="5"/>
      <c r="AA22" s="5"/>
    </row>
    <row r="23" spans="2:27" ht="13.5" customHeight="1" x14ac:dyDescent="0.2">
      <c r="B23" s="227"/>
      <c r="C23" s="88" t="s">
        <v>133</v>
      </c>
      <c r="D23" s="104">
        <v>3130</v>
      </c>
      <c r="E23" s="82" t="s">
        <v>50</v>
      </c>
      <c r="F23" s="263">
        <f>'T5 Task Unit Costs'!D9</f>
        <v>9</v>
      </c>
      <c r="G23" s="265">
        <f>D23*F23</f>
        <v>28170</v>
      </c>
      <c r="H23" s="266"/>
      <c r="I23" s="6"/>
      <c r="J23" s="6"/>
      <c r="L23" s="7" t="s">
        <v>305</v>
      </c>
      <c r="Q23" s="6"/>
      <c r="R23" s="219"/>
      <c r="S23" s="219"/>
      <c r="T23" s="14"/>
      <c r="U23" s="14"/>
      <c r="V23" s="6"/>
      <c r="W23" s="5"/>
      <c r="X23" s="5"/>
      <c r="Y23" s="5"/>
      <c r="Z23" s="5"/>
      <c r="AA23" s="5"/>
    </row>
    <row r="24" spans="2:27" ht="13.5" customHeight="1" x14ac:dyDescent="0.2">
      <c r="B24" s="227"/>
      <c r="C24" s="88" t="s">
        <v>135</v>
      </c>
      <c r="D24" s="104">
        <v>5615</v>
      </c>
      <c r="E24" s="82" t="s">
        <v>50</v>
      </c>
      <c r="F24" s="354">
        <f>'T5 Task Unit Costs'!D16</f>
        <v>2.5</v>
      </c>
      <c r="G24" s="265">
        <f>D24*F24</f>
        <v>14037.5</v>
      </c>
      <c r="H24" s="266"/>
      <c r="I24" s="6"/>
      <c r="J24" s="6"/>
      <c r="L24" s="7" t="s">
        <v>305</v>
      </c>
      <c r="Q24" s="6"/>
      <c r="R24" s="219"/>
      <c r="S24" s="219"/>
      <c r="T24" s="14"/>
      <c r="U24" s="14"/>
      <c r="V24" s="6"/>
      <c r="W24" s="5"/>
      <c r="X24" s="5"/>
      <c r="Y24" s="5"/>
      <c r="Z24" s="5"/>
      <c r="AA24" s="5"/>
    </row>
    <row r="25" spans="2:27" ht="13.5" customHeight="1" x14ac:dyDescent="0.2">
      <c r="B25" s="227"/>
      <c r="C25" s="300" t="s">
        <v>239</v>
      </c>
      <c r="D25" s="104"/>
      <c r="E25" s="82"/>
      <c r="F25" s="261"/>
      <c r="G25" s="265"/>
      <c r="H25" s="266"/>
      <c r="I25" s="6"/>
      <c r="J25" s="6"/>
      <c r="L25" s="7"/>
      <c r="Q25" s="6"/>
      <c r="R25" s="219"/>
      <c r="S25" s="219"/>
      <c r="T25" s="14"/>
      <c r="U25" s="14"/>
      <c r="V25" s="6"/>
      <c r="W25" s="5"/>
      <c r="X25" s="5"/>
      <c r="Y25" s="5"/>
      <c r="Z25" s="5"/>
      <c r="AA25" s="5"/>
    </row>
    <row r="26" spans="2:27" ht="13.5" customHeight="1" x14ac:dyDescent="0.2">
      <c r="B26" s="227"/>
      <c r="C26" s="88" t="s">
        <v>240</v>
      </c>
      <c r="D26" s="104">
        <v>1</v>
      </c>
      <c r="E26" s="82" t="s">
        <v>30</v>
      </c>
      <c r="F26" s="261">
        <v>10950</v>
      </c>
      <c r="G26" s="265">
        <v>0</v>
      </c>
      <c r="H26" s="266"/>
      <c r="I26" s="6"/>
      <c r="J26" s="6"/>
      <c r="L26" s="7" t="s">
        <v>312</v>
      </c>
      <c r="Q26" s="6"/>
      <c r="R26" s="219"/>
      <c r="S26" s="219"/>
      <c r="T26" s="14"/>
      <c r="U26" s="14"/>
      <c r="V26" s="6"/>
      <c r="W26" s="5"/>
      <c r="X26" s="5"/>
      <c r="Y26" s="5"/>
      <c r="Z26" s="5"/>
      <c r="AA26" s="5"/>
    </row>
    <row r="27" spans="2:27" ht="13.5" customHeight="1" x14ac:dyDescent="0.2">
      <c r="B27" s="227"/>
      <c r="C27" s="300" t="s">
        <v>88</v>
      </c>
      <c r="D27" s="104"/>
      <c r="E27" s="82"/>
      <c r="F27" s="263"/>
      <c r="G27" s="265"/>
      <c r="H27" s="266"/>
      <c r="I27" s="6"/>
      <c r="J27" s="6"/>
      <c r="L27" s="7"/>
      <c r="Q27" s="6"/>
      <c r="R27" s="219"/>
      <c r="S27" s="219"/>
      <c r="T27" s="14"/>
      <c r="U27" s="14"/>
      <c r="V27" s="6"/>
      <c r="W27" s="5"/>
      <c r="X27" s="5"/>
      <c r="Y27" s="5"/>
      <c r="Z27" s="5"/>
      <c r="AA27" s="5"/>
    </row>
    <row r="28" spans="2:27" ht="13.5" customHeight="1" x14ac:dyDescent="0.2">
      <c r="B28" s="227"/>
      <c r="C28" s="88" t="s">
        <v>136</v>
      </c>
      <c r="D28" s="104">
        <v>480</v>
      </c>
      <c r="E28" s="82" t="s">
        <v>50</v>
      </c>
      <c r="F28" s="354">
        <f>'T5 Task Unit Costs'!D16</f>
        <v>2.5</v>
      </c>
      <c r="G28" s="265">
        <f>D28*F28</f>
        <v>1200</v>
      </c>
      <c r="H28" s="266"/>
      <c r="I28" s="6"/>
      <c r="J28" s="6"/>
      <c r="L28" s="7"/>
      <c r="Q28" s="6"/>
      <c r="R28" s="219"/>
      <c r="S28" s="219"/>
      <c r="T28" s="14"/>
      <c r="U28" s="14"/>
      <c r="V28" s="6"/>
      <c r="W28" s="5"/>
      <c r="X28" s="5"/>
      <c r="Y28" s="5"/>
      <c r="Z28" s="5"/>
      <c r="AA28" s="5"/>
    </row>
    <row r="29" spans="2:27" ht="13.5" customHeight="1" x14ac:dyDescent="0.2">
      <c r="B29" s="227"/>
      <c r="C29" s="88" t="s">
        <v>137</v>
      </c>
      <c r="D29" s="104">
        <v>1</v>
      </c>
      <c r="E29" s="82" t="s">
        <v>249</v>
      </c>
      <c r="F29" s="261">
        <v>5000</v>
      </c>
      <c r="G29" s="265">
        <f>D29*F29</f>
        <v>5000</v>
      </c>
      <c r="H29" s="266"/>
      <c r="I29" s="6"/>
      <c r="J29" s="6"/>
      <c r="L29" s="7" t="s">
        <v>291</v>
      </c>
      <c r="Q29" s="6"/>
      <c r="R29" s="219"/>
      <c r="S29" s="219"/>
      <c r="T29" s="14"/>
      <c r="U29" s="14"/>
      <c r="V29" s="6"/>
      <c r="W29" s="5"/>
      <c r="X29" s="5"/>
      <c r="Y29" s="5"/>
      <c r="Z29" s="5"/>
      <c r="AA29" s="5"/>
    </row>
    <row r="30" spans="2:27" ht="13.5" customHeight="1" x14ac:dyDescent="0.2">
      <c r="B30" s="227"/>
      <c r="C30" s="88"/>
      <c r="D30" s="45"/>
      <c r="E30" s="82"/>
      <c r="F30" s="264"/>
      <c r="G30" s="284"/>
      <c r="H30" s="268"/>
      <c r="I30" s="6"/>
      <c r="J30" s="6"/>
      <c r="L30" s="7"/>
      <c r="Q30" s="6"/>
      <c r="R30" s="219"/>
      <c r="S30" s="219"/>
      <c r="T30" s="14"/>
      <c r="U30" s="14"/>
      <c r="V30" s="6"/>
      <c r="W30" s="5"/>
      <c r="X30" s="5"/>
      <c r="Y30" s="5"/>
      <c r="Z30" s="5"/>
      <c r="AA30" s="5"/>
    </row>
    <row r="31" spans="2:27" ht="13.5" customHeight="1" thickBot="1" x14ac:dyDescent="0.25">
      <c r="B31" s="229"/>
      <c r="C31" s="230"/>
      <c r="D31" s="152"/>
      <c r="E31" s="269"/>
      <c r="F31" s="270" t="s">
        <v>1</v>
      </c>
      <c r="G31" s="271"/>
      <c r="H31" s="272">
        <f>SUM(G13:G30)</f>
        <v>92230.5</v>
      </c>
      <c r="I31" s="6"/>
      <c r="J31" s="6"/>
      <c r="L31" s="7"/>
      <c r="Q31" s="6"/>
      <c r="R31" s="219"/>
      <c r="S31" s="219"/>
      <c r="T31" s="14"/>
      <c r="U31" s="14"/>
      <c r="V31" s="6"/>
      <c r="W31" s="5"/>
      <c r="X31" s="5"/>
      <c r="Y31" s="5"/>
      <c r="Z31" s="5"/>
      <c r="AA31" s="5"/>
    </row>
    <row r="32" spans="2:27" ht="13.5" customHeight="1" x14ac:dyDescent="0.2">
      <c r="B32" s="235" t="s">
        <v>279</v>
      </c>
      <c r="C32" s="76"/>
      <c r="D32" s="77"/>
      <c r="E32" s="78"/>
      <c r="F32" s="77"/>
      <c r="G32" s="298"/>
      <c r="H32" s="79"/>
      <c r="I32" s="6"/>
      <c r="J32" s="6"/>
      <c r="L32" s="7"/>
      <c r="Q32" s="6"/>
      <c r="R32" s="219"/>
      <c r="S32" s="219"/>
      <c r="T32" s="14"/>
      <c r="U32" s="14"/>
      <c r="V32" s="6"/>
      <c r="W32" s="5"/>
      <c r="X32" s="5"/>
      <c r="Y32" s="5"/>
      <c r="Z32" s="5"/>
      <c r="AA32" s="5"/>
    </row>
    <row r="33" spans="2:27" ht="13.5" customHeight="1" x14ac:dyDescent="0.2">
      <c r="B33" s="225"/>
      <c r="C33" s="300" t="s">
        <v>118</v>
      </c>
      <c r="D33" s="104"/>
      <c r="E33" s="135"/>
      <c r="F33" s="261"/>
      <c r="G33" s="265"/>
      <c r="H33" s="266"/>
      <c r="I33" s="6"/>
      <c r="J33" s="6"/>
      <c r="L33" s="7"/>
      <c r="Q33" s="6"/>
      <c r="R33" s="219"/>
      <c r="S33" s="219"/>
      <c r="T33" s="14"/>
      <c r="U33" s="14"/>
      <c r="V33" s="6"/>
      <c r="W33" s="5"/>
      <c r="X33" s="5"/>
      <c r="Y33" s="5"/>
      <c r="Z33" s="5"/>
      <c r="AA33" s="5"/>
    </row>
    <row r="34" spans="2:27" ht="25.5" x14ac:dyDescent="0.2">
      <c r="B34" s="227"/>
      <c r="C34" s="154" t="s">
        <v>264</v>
      </c>
      <c r="D34" s="104">
        <v>1</v>
      </c>
      <c r="E34" s="135" t="s">
        <v>30</v>
      </c>
      <c r="F34" s="261">
        <v>10000</v>
      </c>
      <c r="G34" s="265">
        <f>D34*F34</f>
        <v>10000</v>
      </c>
      <c r="H34" s="266"/>
      <c r="I34" s="6"/>
      <c r="J34" s="6"/>
      <c r="L34" s="7" t="s">
        <v>311</v>
      </c>
      <c r="Q34" s="6"/>
      <c r="R34" s="219"/>
      <c r="S34" s="219"/>
      <c r="T34" s="14"/>
      <c r="U34" s="14"/>
      <c r="V34" s="6"/>
      <c r="W34" s="5"/>
      <c r="X34" s="5"/>
      <c r="Y34" s="5"/>
      <c r="Z34" s="5"/>
      <c r="AA34" s="5"/>
    </row>
    <row r="35" spans="2:27" ht="13.5" customHeight="1" x14ac:dyDescent="0.2">
      <c r="B35" s="227"/>
      <c r="C35" s="300" t="s">
        <v>126</v>
      </c>
      <c r="D35" s="104"/>
      <c r="E35" s="135"/>
      <c r="F35" s="261"/>
      <c r="G35" s="265"/>
      <c r="H35" s="266"/>
      <c r="I35" s="6"/>
      <c r="J35" s="6"/>
      <c r="L35" s="7"/>
      <c r="Q35" s="6"/>
      <c r="R35" s="219"/>
      <c r="S35" s="219"/>
      <c r="T35" s="14"/>
      <c r="U35" s="14"/>
      <c r="V35" s="6"/>
      <c r="W35" s="5"/>
      <c r="X35" s="5"/>
      <c r="Y35" s="5"/>
      <c r="Z35" s="5"/>
      <c r="AA35" s="5"/>
    </row>
    <row r="36" spans="2:27" ht="13.5" customHeight="1" x14ac:dyDescent="0.2">
      <c r="B36" s="227"/>
      <c r="C36" s="88" t="s">
        <v>248</v>
      </c>
      <c r="D36" s="338">
        <v>1</v>
      </c>
      <c r="E36" s="135" t="s">
        <v>30</v>
      </c>
      <c r="F36" s="261">
        <v>160000</v>
      </c>
      <c r="G36" s="265">
        <f>D36*F36</f>
        <v>160000</v>
      </c>
      <c r="H36" s="266"/>
      <c r="I36" s="6"/>
      <c r="J36" s="6"/>
      <c r="L36" s="7" t="s">
        <v>300</v>
      </c>
      <c r="Q36" s="6"/>
      <c r="R36" s="219"/>
      <c r="S36" s="219"/>
      <c r="T36" s="14"/>
      <c r="U36" s="14"/>
      <c r="V36" s="6"/>
      <c r="W36" s="5"/>
      <c r="X36" s="5"/>
      <c r="Y36" s="5"/>
      <c r="Z36" s="5"/>
      <c r="AA36" s="5"/>
    </row>
    <row r="37" spans="2:27" ht="13.5" customHeight="1" x14ac:dyDescent="0.2">
      <c r="B37" s="227"/>
      <c r="C37" s="300" t="s">
        <v>239</v>
      </c>
      <c r="D37" s="104"/>
      <c r="E37" s="82"/>
      <c r="F37" s="261"/>
      <c r="G37" s="265"/>
      <c r="H37" s="266"/>
      <c r="I37" s="6"/>
      <c r="J37" s="6"/>
      <c r="L37" s="7"/>
      <c r="Q37" s="6"/>
      <c r="R37" s="219"/>
      <c r="S37" s="219"/>
      <c r="T37" s="14"/>
      <c r="U37" s="14"/>
      <c r="V37" s="6"/>
      <c r="W37" s="5"/>
      <c r="X37" s="5"/>
      <c r="Y37" s="5"/>
      <c r="Z37" s="5"/>
      <c r="AA37" s="5"/>
    </row>
    <row r="38" spans="2:27" ht="13.5" customHeight="1" x14ac:dyDescent="0.2">
      <c r="B38" s="227"/>
      <c r="C38" s="88" t="s">
        <v>240</v>
      </c>
      <c r="D38" s="104">
        <v>1</v>
      </c>
      <c r="E38" s="82" t="s">
        <v>30</v>
      </c>
      <c r="F38" s="261">
        <v>10000</v>
      </c>
      <c r="G38" s="265">
        <v>0</v>
      </c>
      <c r="H38" s="266"/>
      <c r="I38" s="6"/>
      <c r="J38" s="6"/>
      <c r="L38" s="7"/>
      <c r="Q38" s="6"/>
      <c r="R38" s="219"/>
      <c r="S38" s="219"/>
      <c r="T38" s="14"/>
      <c r="U38" s="14"/>
      <c r="V38" s="6"/>
      <c r="W38" s="5"/>
      <c r="X38" s="5"/>
      <c r="Y38" s="5"/>
      <c r="Z38" s="5"/>
      <c r="AA38" s="5"/>
    </row>
    <row r="39" spans="2:27" ht="13.5" customHeight="1" x14ac:dyDescent="0.2">
      <c r="B39" s="227"/>
      <c r="C39" s="300" t="s">
        <v>128</v>
      </c>
      <c r="D39" s="104"/>
      <c r="E39" s="135"/>
      <c r="F39" s="261"/>
      <c r="G39" s="265"/>
      <c r="H39" s="266"/>
      <c r="I39" s="6"/>
      <c r="J39" s="6"/>
      <c r="L39" s="7"/>
      <c r="Q39" s="6"/>
      <c r="R39" s="219"/>
      <c r="S39" s="219"/>
      <c r="T39" s="14"/>
      <c r="U39" s="14"/>
      <c r="V39" s="6"/>
      <c r="W39" s="5"/>
      <c r="X39" s="5"/>
      <c r="Y39" s="5"/>
      <c r="Z39" s="5"/>
      <c r="AA39" s="5"/>
    </row>
    <row r="40" spans="2:27" ht="13.5" customHeight="1" x14ac:dyDescent="0.2">
      <c r="B40" s="227"/>
      <c r="C40" s="88" t="s">
        <v>313</v>
      </c>
      <c r="D40" s="338">
        <v>20</v>
      </c>
      <c r="E40" s="135" t="s">
        <v>30</v>
      </c>
      <c r="F40" s="261">
        <f>'T4 Eqpmnt &amp; Labour Rates'!$C$37</f>
        <v>170</v>
      </c>
      <c r="G40" s="265">
        <f>D40*F40</f>
        <v>3400</v>
      </c>
      <c r="H40" s="266"/>
      <c r="I40" s="6"/>
      <c r="J40" s="6"/>
      <c r="L40" s="7" t="s">
        <v>329</v>
      </c>
      <c r="Q40" s="6"/>
      <c r="R40" s="219"/>
      <c r="S40" s="219"/>
      <c r="T40" s="14"/>
      <c r="U40" s="14"/>
      <c r="V40" s="6"/>
      <c r="W40" s="5"/>
      <c r="X40" s="5"/>
      <c r="Y40" s="5"/>
      <c r="Z40" s="5"/>
      <c r="AA40" s="5"/>
    </row>
    <row r="41" spans="2:27" ht="13.5" customHeight="1" x14ac:dyDescent="0.2">
      <c r="B41" s="227"/>
      <c r="C41" s="88" t="s">
        <v>328</v>
      </c>
      <c r="D41" s="104">
        <v>3000</v>
      </c>
      <c r="E41" s="135" t="s">
        <v>50</v>
      </c>
      <c r="F41" s="261">
        <f>'T5 Task Unit Costs'!D19</f>
        <v>11.248640000000002</v>
      </c>
      <c r="G41" s="265">
        <f>D41*F41</f>
        <v>33745.920000000006</v>
      </c>
      <c r="H41" s="266"/>
      <c r="I41" s="6"/>
      <c r="J41" s="6"/>
      <c r="L41" s="7" t="s">
        <v>308</v>
      </c>
      <c r="Q41" s="6"/>
      <c r="R41" s="219"/>
      <c r="S41" s="219"/>
      <c r="T41" s="14"/>
      <c r="U41" s="14"/>
      <c r="V41" s="6"/>
      <c r="W41" s="5"/>
      <c r="X41" s="5"/>
      <c r="Y41" s="5"/>
      <c r="Z41" s="5"/>
      <c r="AA41" s="5"/>
    </row>
    <row r="42" spans="2:27" ht="13.5" customHeight="1" x14ac:dyDescent="0.2">
      <c r="B42" s="227"/>
      <c r="C42" s="88" t="s">
        <v>265</v>
      </c>
      <c r="D42" s="104">
        <v>2000</v>
      </c>
      <c r="E42" s="135" t="s">
        <v>50</v>
      </c>
      <c r="F42" s="261">
        <f>'T5 Task Unit Costs'!D10</f>
        <v>14</v>
      </c>
      <c r="G42" s="265">
        <f>D42*F42</f>
        <v>28000</v>
      </c>
      <c r="H42" s="266"/>
      <c r="I42" s="6"/>
      <c r="J42" s="6"/>
      <c r="L42" s="7" t="s">
        <v>308</v>
      </c>
      <c r="O42" s="6" t="s">
        <v>213</v>
      </c>
      <c r="Q42" s="6"/>
      <c r="R42" s="219"/>
      <c r="S42" s="219"/>
      <c r="T42" s="14"/>
      <c r="U42" s="14"/>
      <c r="V42" s="6"/>
      <c r="W42" s="5"/>
      <c r="X42" s="5"/>
      <c r="Y42" s="5"/>
      <c r="Z42" s="5"/>
      <c r="AA42" s="5"/>
    </row>
    <row r="43" spans="2:27" ht="13.5" customHeight="1" x14ac:dyDescent="0.2">
      <c r="B43" s="227"/>
      <c r="C43" s="88" t="s">
        <v>175</v>
      </c>
      <c r="D43" s="104">
        <v>2000</v>
      </c>
      <c r="E43" s="135" t="s">
        <v>50</v>
      </c>
      <c r="F43" s="354">
        <f>'T5 Task Unit Costs'!D16</f>
        <v>2.5</v>
      </c>
      <c r="G43" s="265">
        <f>D43*F43</f>
        <v>5000</v>
      </c>
      <c r="H43" s="266"/>
      <c r="I43" s="6"/>
      <c r="J43" s="6"/>
      <c r="L43" s="7"/>
      <c r="O43">
        <v>12828</v>
      </c>
      <c r="P43" s="6" t="s">
        <v>274</v>
      </c>
      <c r="Q43" s="6"/>
      <c r="R43" s="219"/>
      <c r="S43" s="219"/>
      <c r="T43" s="14"/>
      <c r="U43" s="14"/>
      <c r="V43" s="6"/>
      <c r="W43" s="5"/>
      <c r="X43" s="5"/>
      <c r="Y43" s="5"/>
      <c r="Z43" s="5"/>
      <c r="AA43" s="5"/>
    </row>
    <row r="44" spans="2:27" ht="13.5" customHeight="1" x14ac:dyDescent="0.2">
      <c r="B44" s="227"/>
      <c r="C44" s="300" t="s">
        <v>89</v>
      </c>
      <c r="D44" s="104"/>
      <c r="E44" s="135"/>
      <c r="F44" s="261"/>
      <c r="G44" s="265"/>
      <c r="H44" s="266"/>
      <c r="I44" s="6"/>
      <c r="J44" s="6"/>
      <c r="L44" s="7"/>
      <c r="O44">
        <v>8912</v>
      </c>
      <c r="P44" s="6" t="s">
        <v>275</v>
      </c>
      <c r="Q44" s="6"/>
      <c r="R44" s="219"/>
      <c r="S44" s="219"/>
      <c r="T44" s="14"/>
      <c r="U44" s="14"/>
      <c r="V44" s="6"/>
      <c r="W44" s="5"/>
      <c r="X44" s="5"/>
      <c r="Y44" s="5"/>
      <c r="Z44" s="5"/>
      <c r="AA44" s="5"/>
    </row>
    <row r="45" spans="2:27" ht="13.5" customHeight="1" x14ac:dyDescent="0.2">
      <c r="B45" s="227"/>
      <c r="C45" s="88" t="s">
        <v>129</v>
      </c>
      <c r="D45" s="338">
        <f>10/2</f>
        <v>5</v>
      </c>
      <c r="E45" s="135" t="s">
        <v>30</v>
      </c>
      <c r="F45" s="261">
        <f>'T4 Eqpmnt &amp; Labour Rates'!C37</f>
        <v>170</v>
      </c>
      <c r="G45" s="265">
        <f>D45*F45</f>
        <v>850</v>
      </c>
      <c r="H45" s="266"/>
      <c r="I45" s="6"/>
      <c r="J45" s="6"/>
      <c r="L45" s="7" t="s">
        <v>280</v>
      </c>
      <c r="O45">
        <v>5570</v>
      </c>
      <c r="P45" s="6" t="s">
        <v>276</v>
      </c>
      <c r="Q45" s="6"/>
      <c r="R45" s="219"/>
      <c r="S45" s="219"/>
      <c r="T45" s="14"/>
      <c r="U45" s="14"/>
      <c r="V45" s="6"/>
      <c r="W45" s="5"/>
      <c r="X45" s="5"/>
      <c r="Y45" s="5"/>
      <c r="Z45" s="5"/>
      <c r="AA45" s="5"/>
    </row>
    <row r="46" spans="2:27" ht="13.5" customHeight="1" x14ac:dyDescent="0.2">
      <c r="B46" s="227"/>
      <c r="C46" s="88" t="s">
        <v>130</v>
      </c>
      <c r="D46" s="339">
        <f>123/2</f>
        <v>61.5</v>
      </c>
      <c r="E46" s="45" t="s">
        <v>30</v>
      </c>
      <c r="F46" s="262">
        <f>'T4 Eqpmnt &amp; Labour Rates'!C37</f>
        <v>170</v>
      </c>
      <c r="G46" s="265">
        <f>D46*F46</f>
        <v>10455</v>
      </c>
      <c r="H46" s="268"/>
      <c r="I46" s="6"/>
      <c r="J46" s="6"/>
      <c r="L46" s="7" t="s">
        <v>280</v>
      </c>
      <c r="O46" s="336">
        <v>6684</v>
      </c>
      <c r="P46" s="6" t="s">
        <v>277</v>
      </c>
      <c r="Q46" s="6"/>
      <c r="R46" s="219"/>
      <c r="S46" s="219"/>
      <c r="T46" s="14"/>
      <c r="U46" s="14"/>
      <c r="V46" s="6"/>
      <c r="W46" s="5"/>
      <c r="X46" s="5"/>
      <c r="Y46" s="5"/>
      <c r="Z46" s="5"/>
      <c r="AA46" s="5"/>
    </row>
    <row r="47" spans="2:27" ht="13.5" customHeight="1" x14ac:dyDescent="0.2">
      <c r="B47" s="227"/>
      <c r="C47" s="88" t="s">
        <v>131</v>
      </c>
      <c r="D47" s="338">
        <f>38/2</f>
        <v>19</v>
      </c>
      <c r="E47" s="104" t="s">
        <v>30</v>
      </c>
      <c r="F47" s="261">
        <f>'T4 Eqpmnt &amp; Labour Rates'!C37</f>
        <v>170</v>
      </c>
      <c r="G47" s="265">
        <f>D47*F47</f>
        <v>3230</v>
      </c>
      <c r="H47" s="266"/>
      <c r="I47" s="6"/>
      <c r="J47" s="6"/>
      <c r="L47" s="7" t="s">
        <v>280</v>
      </c>
      <c r="O47" s="337">
        <f>SUM(O43:O46)</f>
        <v>33994</v>
      </c>
      <c r="Q47" s="6"/>
      <c r="R47" s="219"/>
      <c r="S47" s="219"/>
      <c r="T47" s="14"/>
      <c r="U47" s="14"/>
      <c r="V47" s="6"/>
      <c r="W47" s="5"/>
      <c r="X47" s="5"/>
      <c r="Y47" s="5"/>
      <c r="Z47" s="5"/>
      <c r="AA47" s="5"/>
    </row>
    <row r="48" spans="2:27" ht="13.5" customHeight="1" x14ac:dyDescent="0.2">
      <c r="B48" s="227"/>
      <c r="C48" s="300" t="s">
        <v>90</v>
      </c>
      <c r="D48" s="104"/>
      <c r="E48" s="104"/>
      <c r="F48" s="261"/>
      <c r="G48" s="265"/>
      <c r="H48" s="266"/>
      <c r="I48" s="6"/>
      <c r="J48" s="6"/>
      <c r="L48" s="7"/>
      <c r="Q48" s="6"/>
      <c r="R48" s="219"/>
      <c r="S48" s="219"/>
      <c r="T48" s="14"/>
      <c r="U48" s="14"/>
      <c r="V48" s="6"/>
      <c r="W48" s="5"/>
      <c r="X48" s="5"/>
      <c r="Y48" s="5"/>
      <c r="Z48" s="5"/>
      <c r="AA48" s="5"/>
    </row>
    <row r="49" spans="2:27" ht="13.5" customHeight="1" x14ac:dyDescent="0.2">
      <c r="B49" s="227"/>
      <c r="C49" s="88" t="s">
        <v>238</v>
      </c>
      <c r="D49" s="338">
        <v>1</v>
      </c>
      <c r="E49" s="104" t="s">
        <v>30</v>
      </c>
      <c r="F49" s="261">
        <f>13000+9000+6000+7000</f>
        <v>35000</v>
      </c>
      <c r="G49" s="265">
        <f t="shared" ref="G49" si="0">D49*F49</f>
        <v>35000</v>
      </c>
      <c r="H49" s="266"/>
      <c r="I49" s="6"/>
      <c r="J49" s="6"/>
      <c r="L49" s="7" t="s">
        <v>300</v>
      </c>
      <c r="Q49" s="6"/>
      <c r="R49" s="219"/>
      <c r="S49" s="219"/>
      <c r="T49" s="14"/>
      <c r="U49" s="14"/>
      <c r="V49" s="6"/>
      <c r="W49" s="5"/>
      <c r="X49" s="5"/>
      <c r="Y49" s="5"/>
      <c r="Z49" s="5"/>
      <c r="AA49" s="5"/>
    </row>
    <row r="50" spans="2:27" ht="13.5" customHeight="1" x14ac:dyDescent="0.2">
      <c r="B50" s="227"/>
      <c r="C50" s="300" t="s">
        <v>214</v>
      </c>
      <c r="D50" s="104"/>
      <c r="E50" s="104"/>
      <c r="F50" s="261"/>
      <c r="G50" s="265"/>
      <c r="H50" s="266"/>
      <c r="I50" s="6"/>
      <c r="J50" s="6"/>
      <c r="L50" s="7"/>
      <c r="Q50" s="6"/>
      <c r="R50" s="219"/>
      <c r="S50" s="219"/>
      <c r="T50" s="14"/>
      <c r="U50" s="14"/>
      <c r="V50" s="6"/>
      <c r="W50" s="5"/>
      <c r="X50" s="5"/>
      <c r="Y50" s="5"/>
      <c r="Z50" s="5"/>
      <c r="AA50" s="5"/>
    </row>
    <row r="51" spans="2:27" ht="13.5" customHeight="1" x14ac:dyDescent="0.2">
      <c r="B51" s="227"/>
      <c r="C51" s="88" t="s">
        <v>169</v>
      </c>
      <c r="D51" s="338">
        <f>5630/2</f>
        <v>2815</v>
      </c>
      <c r="E51" s="135" t="s">
        <v>144</v>
      </c>
      <c r="F51" s="263">
        <f>'T5 Task Unit Costs'!D31</f>
        <v>1</v>
      </c>
      <c r="G51" s="265">
        <f>D51*F51</f>
        <v>2815</v>
      </c>
      <c r="H51" s="266"/>
      <c r="I51" s="6"/>
      <c r="J51" s="6"/>
      <c r="L51" s="7" t="s">
        <v>280</v>
      </c>
      <c r="Q51" s="6"/>
      <c r="R51" s="219"/>
      <c r="S51" s="219"/>
      <c r="T51" s="14"/>
      <c r="U51" s="14"/>
      <c r="V51" s="6"/>
      <c r="W51" s="5"/>
      <c r="X51" s="5"/>
      <c r="Y51" s="5"/>
      <c r="Z51" s="5"/>
      <c r="AA51" s="5"/>
    </row>
    <row r="52" spans="2:27" ht="13.5" customHeight="1" x14ac:dyDescent="0.2">
      <c r="B52" s="227"/>
      <c r="C52" s="88" t="s">
        <v>168</v>
      </c>
      <c r="D52" s="338">
        <f>5630/2</f>
        <v>2815</v>
      </c>
      <c r="E52" s="135" t="s">
        <v>144</v>
      </c>
      <c r="F52" s="263">
        <f>'T5 Task Unit Costs'!D11</f>
        <v>2</v>
      </c>
      <c r="G52" s="265">
        <f>D52*F52</f>
        <v>5630</v>
      </c>
      <c r="H52" s="266"/>
      <c r="I52" s="6"/>
      <c r="J52" s="6"/>
      <c r="L52" s="7" t="s">
        <v>280</v>
      </c>
      <c r="Q52" s="6"/>
      <c r="R52" s="219"/>
      <c r="S52" s="219"/>
      <c r="T52" s="14"/>
      <c r="U52" s="14"/>
      <c r="V52" s="6"/>
      <c r="W52" s="5"/>
      <c r="X52" s="5"/>
      <c r="Y52" s="5"/>
      <c r="Z52" s="5"/>
      <c r="AA52" s="5"/>
    </row>
    <row r="53" spans="2:27" ht="13.5" customHeight="1" x14ac:dyDescent="0.2">
      <c r="B53" s="227"/>
      <c r="C53" s="88" t="s">
        <v>132</v>
      </c>
      <c r="D53" s="338">
        <f>6115/2</f>
        <v>3057.5</v>
      </c>
      <c r="E53" s="82" t="s">
        <v>50</v>
      </c>
      <c r="F53" s="354">
        <f>'T5 Task Unit Costs'!D16</f>
        <v>2.5</v>
      </c>
      <c r="G53" s="265">
        <f>D53*F53</f>
        <v>7643.75</v>
      </c>
      <c r="H53" s="266"/>
      <c r="I53" s="6"/>
      <c r="J53" s="6"/>
      <c r="L53" s="7" t="s">
        <v>280</v>
      </c>
      <c r="Q53" s="6"/>
      <c r="R53" s="219"/>
      <c r="S53" s="219"/>
      <c r="T53" s="14"/>
      <c r="U53" s="14"/>
      <c r="V53" s="6"/>
      <c r="W53" s="5"/>
      <c r="X53" s="5"/>
      <c r="Y53" s="5"/>
      <c r="Z53" s="5"/>
      <c r="AA53" s="5"/>
    </row>
    <row r="54" spans="2:27" ht="13.5" customHeight="1" x14ac:dyDescent="0.2">
      <c r="B54" s="227"/>
      <c r="C54" s="88"/>
      <c r="D54" s="45"/>
      <c r="E54" s="82"/>
      <c r="F54" s="264"/>
      <c r="G54" s="284"/>
      <c r="H54" s="268"/>
      <c r="I54" s="6"/>
      <c r="J54" s="6"/>
      <c r="L54" s="7"/>
      <c r="Q54" s="6"/>
      <c r="R54" s="219"/>
      <c r="S54" s="219"/>
      <c r="T54" s="14"/>
      <c r="U54" s="14"/>
      <c r="V54" s="6"/>
      <c r="W54" s="5"/>
      <c r="X54" s="5"/>
      <c r="Y54" s="5"/>
      <c r="Z54" s="5"/>
      <c r="AA54" s="5"/>
    </row>
    <row r="55" spans="2:27" ht="13.5" customHeight="1" thickBot="1" x14ac:dyDescent="0.25">
      <c r="B55" s="229"/>
      <c r="C55" s="230"/>
      <c r="D55" s="152"/>
      <c r="E55" s="269"/>
      <c r="F55" s="270" t="s">
        <v>1</v>
      </c>
      <c r="G55" s="271"/>
      <c r="H55" s="272">
        <f>SUM(G33:G54)</f>
        <v>305769.67000000004</v>
      </c>
      <c r="I55" s="6"/>
      <c r="J55" s="6"/>
      <c r="L55" s="7"/>
      <c r="Q55" s="6"/>
      <c r="R55" s="219"/>
      <c r="S55" s="219"/>
      <c r="T55" s="14"/>
      <c r="U55" s="14"/>
      <c r="V55" s="6"/>
      <c r="W55" s="5"/>
      <c r="X55" s="5"/>
      <c r="Y55" s="5"/>
      <c r="Z55" s="5"/>
      <c r="AA55" s="5"/>
    </row>
    <row r="56" spans="2:27" ht="13.5" customHeight="1" x14ac:dyDescent="0.2">
      <c r="B56" s="235" t="s">
        <v>266</v>
      </c>
      <c r="C56" s="76"/>
      <c r="D56" s="77"/>
      <c r="E56" s="78"/>
      <c r="F56" s="77"/>
      <c r="G56" s="298"/>
      <c r="H56" s="79"/>
      <c r="I56" s="6"/>
      <c r="J56" s="6"/>
      <c r="L56" s="7" t="s">
        <v>270</v>
      </c>
      <c r="Q56" s="6"/>
      <c r="R56" s="219"/>
      <c r="S56" s="219"/>
      <c r="T56" s="14"/>
      <c r="U56" s="14"/>
      <c r="V56" s="6"/>
      <c r="W56" s="5"/>
      <c r="X56" s="5"/>
      <c r="Y56" s="5"/>
      <c r="Z56" s="5"/>
      <c r="AA56" s="5"/>
    </row>
    <row r="57" spans="2:27" ht="13.5" customHeight="1" x14ac:dyDescent="0.2">
      <c r="B57" s="227"/>
      <c r="C57" s="300" t="s">
        <v>198</v>
      </c>
      <c r="D57" s="104"/>
      <c r="E57" s="135"/>
      <c r="F57" s="261"/>
      <c r="G57" s="265"/>
      <c r="H57" s="266"/>
      <c r="I57" s="6"/>
      <c r="J57" s="6"/>
      <c r="L57" s="7"/>
      <c r="Q57" s="6"/>
      <c r="R57" s="219"/>
      <c r="S57" s="219"/>
      <c r="T57" s="14"/>
      <c r="U57" s="14"/>
      <c r="V57" s="6"/>
      <c r="W57" s="5"/>
      <c r="X57" s="5"/>
      <c r="Y57" s="5"/>
      <c r="Z57" s="5"/>
      <c r="AA57" s="5"/>
    </row>
    <row r="58" spans="2:27" ht="13.5" customHeight="1" x14ac:dyDescent="0.2">
      <c r="B58" s="227"/>
      <c r="C58" s="88" t="s">
        <v>197</v>
      </c>
      <c r="D58" s="104">
        <f>500/2</f>
        <v>250</v>
      </c>
      <c r="E58" s="135" t="s">
        <v>50</v>
      </c>
      <c r="F58" s="261">
        <f>'T5 Task Unit Costs'!D18</f>
        <v>12</v>
      </c>
      <c r="G58" s="265">
        <f>D58*F58</f>
        <v>3000</v>
      </c>
      <c r="H58" s="266"/>
      <c r="I58" s="6"/>
      <c r="J58" s="6"/>
      <c r="L58" s="7" t="s">
        <v>255</v>
      </c>
      <c r="Q58" s="6"/>
      <c r="R58" s="219"/>
      <c r="S58" s="219"/>
      <c r="T58" s="14"/>
      <c r="U58" s="14"/>
      <c r="V58" s="6"/>
      <c r="W58" s="5"/>
      <c r="X58" s="5"/>
      <c r="Y58" s="5"/>
      <c r="Z58" s="5"/>
      <c r="AA58" s="5"/>
    </row>
    <row r="59" spans="2:27" ht="13.5" customHeight="1" x14ac:dyDescent="0.2">
      <c r="B59" s="227"/>
      <c r="C59" s="88" t="s">
        <v>150</v>
      </c>
      <c r="D59" s="104">
        <v>1040</v>
      </c>
      <c r="E59" s="82" t="s">
        <v>144</v>
      </c>
      <c r="F59" s="261">
        <f>'T5 Task Unit Costs'!D30</f>
        <v>18</v>
      </c>
      <c r="G59" s="265">
        <f>D59*F59</f>
        <v>18720</v>
      </c>
      <c r="H59" s="266"/>
      <c r="I59" s="6"/>
      <c r="J59" s="6"/>
      <c r="L59" s="7" t="s">
        <v>183</v>
      </c>
      <c r="Q59" s="6"/>
      <c r="R59" s="219"/>
      <c r="S59" s="219"/>
      <c r="T59" s="14"/>
      <c r="U59" s="14"/>
      <c r="V59" s="6"/>
      <c r="W59" s="5"/>
      <c r="X59" s="5"/>
      <c r="Y59" s="5"/>
      <c r="Z59" s="5"/>
      <c r="AA59" s="5"/>
    </row>
    <row r="60" spans="2:27" ht="13.5" customHeight="1" x14ac:dyDescent="0.2">
      <c r="B60" s="227"/>
      <c r="C60" s="88" t="s">
        <v>121</v>
      </c>
      <c r="D60" s="104">
        <f>1040*0.5</f>
        <v>520</v>
      </c>
      <c r="E60" s="82" t="s">
        <v>50</v>
      </c>
      <c r="F60" s="261">
        <f>'T5 Task Unit Costs'!D18</f>
        <v>12</v>
      </c>
      <c r="G60" s="265">
        <f>D60*F60</f>
        <v>6240</v>
      </c>
      <c r="H60" s="266"/>
      <c r="I60" s="6"/>
      <c r="J60" s="6"/>
      <c r="L60" s="7" t="s">
        <v>256</v>
      </c>
      <c r="Q60" s="6"/>
      <c r="R60" s="219"/>
      <c r="S60" s="219"/>
      <c r="T60" s="14"/>
      <c r="U60" s="14"/>
      <c r="V60" s="6"/>
      <c r="W60" s="5"/>
      <c r="X60" s="5"/>
      <c r="Y60" s="5"/>
      <c r="Z60" s="5"/>
      <c r="AA60" s="5"/>
    </row>
    <row r="61" spans="2:27" ht="13.5" customHeight="1" x14ac:dyDescent="0.2">
      <c r="B61" s="227"/>
      <c r="C61" s="88" t="s">
        <v>170</v>
      </c>
      <c r="D61" s="104">
        <v>520</v>
      </c>
      <c r="E61" s="82" t="s">
        <v>50</v>
      </c>
      <c r="F61" s="354">
        <f>'T5 Task Unit Costs'!D16</f>
        <v>2.5</v>
      </c>
      <c r="G61" s="265">
        <f>D61*F61</f>
        <v>1300</v>
      </c>
      <c r="H61" s="266"/>
      <c r="I61" s="6"/>
      <c r="J61" s="6"/>
      <c r="L61" s="7"/>
      <c r="Q61" s="6"/>
      <c r="R61" s="219"/>
      <c r="S61" s="219"/>
      <c r="T61" s="14"/>
      <c r="U61" s="14"/>
      <c r="V61" s="6"/>
      <c r="W61" s="5"/>
      <c r="X61" s="5"/>
      <c r="Y61" s="5"/>
      <c r="Z61" s="5"/>
      <c r="AA61" s="5"/>
    </row>
    <row r="62" spans="2:27" ht="13.5" customHeight="1" x14ac:dyDescent="0.2">
      <c r="B62" s="227"/>
      <c r="C62" s="88"/>
      <c r="D62" s="104"/>
      <c r="E62" s="82"/>
      <c r="F62" s="354"/>
      <c r="G62" s="265"/>
      <c r="H62" s="266"/>
      <c r="I62" s="6"/>
      <c r="J62" s="6"/>
      <c r="L62" s="7"/>
      <c r="Q62" s="6"/>
      <c r="R62" s="219"/>
      <c r="S62" s="219"/>
      <c r="T62" s="14"/>
      <c r="U62" s="14"/>
      <c r="V62" s="6"/>
      <c r="W62" s="5"/>
      <c r="X62" s="5"/>
      <c r="Y62" s="5"/>
      <c r="Z62" s="5"/>
      <c r="AA62" s="5"/>
    </row>
    <row r="63" spans="2:27" ht="13.5" customHeight="1" x14ac:dyDescent="0.2">
      <c r="B63" s="227"/>
      <c r="C63" s="88"/>
      <c r="D63" s="45"/>
      <c r="E63" s="82"/>
      <c r="F63" s="264"/>
      <c r="G63" s="284"/>
      <c r="H63" s="268"/>
      <c r="I63" s="6"/>
      <c r="J63" s="6"/>
      <c r="L63" s="7"/>
      <c r="Q63" s="6"/>
      <c r="R63" s="219"/>
      <c r="S63" s="219"/>
      <c r="T63" s="14"/>
      <c r="U63" s="14"/>
      <c r="V63" s="6"/>
      <c r="W63" s="5"/>
      <c r="X63" s="5"/>
      <c r="Y63" s="5"/>
      <c r="Z63" s="5"/>
      <c r="AA63" s="5"/>
    </row>
    <row r="64" spans="2:27" ht="13.5" customHeight="1" thickBot="1" x14ac:dyDescent="0.25">
      <c r="B64" s="229"/>
      <c r="C64" s="230"/>
      <c r="D64" s="230"/>
      <c r="E64" s="231"/>
      <c r="F64" s="232" t="s">
        <v>1</v>
      </c>
      <c r="G64" s="271"/>
      <c r="H64" s="272">
        <v>0</v>
      </c>
      <c r="I64" s="6"/>
      <c r="J64" s="6"/>
      <c r="L64" s="7" t="s">
        <v>306</v>
      </c>
      <c r="Q64" s="6"/>
      <c r="R64" s="219"/>
      <c r="S64" s="219"/>
      <c r="T64" s="14"/>
      <c r="U64" s="14"/>
      <c r="V64" s="6"/>
      <c r="W64" s="5"/>
      <c r="X64" s="5"/>
      <c r="Y64" s="5"/>
      <c r="Z64" s="5"/>
      <c r="AA64" s="5"/>
    </row>
    <row r="65" spans="2:27" ht="13.5" customHeight="1" x14ac:dyDescent="0.2">
      <c r="B65" s="235" t="s">
        <v>268</v>
      </c>
      <c r="C65" s="76"/>
      <c r="D65" s="77"/>
      <c r="E65" s="78"/>
      <c r="F65" s="77"/>
      <c r="G65" s="298"/>
      <c r="H65" s="79"/>
      <c r="I65" s="6"/>
      <c r="J65" s="6"/>
      <c r="L65" s="7"/>
      <c r="Q65" s="6"/>
      <c r="R65" s="219"/>
      <c r="S65" s="219"/>
      <c r="T65" s="14"/>
      <c r="U65" s="14"/>
      <c r="V65" s="6"/>
      <c r="W65" s="5"/>
      <c r="X65" s="5"/>
      <c r="Y65" s="5"/>
      <c r="Z65" s="5"/>
      <c r="AA65" s="5"/>
    </row>
    <row r="66" spans="2:27" ht="13.5" customHeight="1" x14ac:dyDescent="0.2">
      <c r="B66" s="227"/>
      <c r="C66" s="300" t="s">
        <v>198</v>
      </c>
      <c r="D66" s="104"/>
      <c r="E66" s="135"/>
      <c r="F66" s="261"/>
      <c r="G66" s="265"/>
      <c r="H66" s="266"/>
      <c r="I66" s="6"/>
      <c r="J66" s="6"/>
      <c r="L66" s="7" t="s">
        <v>269</v>
      </c>
      <c r="Q66" s="6"/>
      <c r="R66" s="219"/>
      <c r="S66" s="219"/>
      <c r="T66" s="14"/>
      <c r="U66" s="14"/>
      <c r="V66" s="6"/>
      <c r="W66" s="5"/>
      <c r="X66" s="5"/>
      <c r="Y66" s="5"/>
      <c r="Z66" s="5"/>
      <c r="AA66" s="5"/>
    </row>
    <row r="67" spans="2:27" ht="13.5" customHeight="1" x14ac:dyDescent="0.2">
      <c r="B67" s="227"/>
      <c r="C67" s="88" t="s">
        <v>197</v>
      </c>
      <c r="D67" s="104">
        <f>600/2</f>
        <v>300</v>
      </c>
      <c r="E67" s="135" t="s">
        <v>50</v>
      </c>
      <c r="F67" s="261">
        <f>'T5 Task Unit Costs'!D18</f>
        <v>12</v>
      </c>
      <c r="G67" s="265">
        <f>D67*F67</f>
        <v>3600</v>
      </c>
      <c r="H67" s="266"/>
      <c r="I67" s="6"/>
      <c r="J67" s="6"/>
      <c r="L67" s="7"/>
      <c r="Q67" s="6"/>
      <c r="R67" s="219"/>
      <c r="S67" s="219"/>
      <c r="T67" s="14"/>
      <c r="U67" s="14"/>
      <c r="V67" s="6"/>
      <c r="W67" s="5"/>
      <c r="X67" s="5"/>
      <c r="Y67" s="5"/>
      <c r="Z67" s="5"/>
      <c r="AA67" s="5"/>
    </row>
    <row r="68" spans="2:27" ht="13.5" customHeight="1" x14ac:dyDescent="0.2">
      <c r="B68" s="227"/>
      <c r="C68" s="88" t="s">
        <v>150</v>
      </c>
      <c r="D68" s="104">
        <v>1250</v>
      </c>
      <c r="E68" s="82" t="s">
        <v>144</v>
      </c>
      <c r="F68" s="261">
        <f>'T5 Task Unit Costs'!D30</f>
        <v>18</v>
      </c>
      <c r="G68" s="265">
        <f>D68*F68</f>
        <v>22500</v>
      </c>
      <c r="H68" s="266"/>
      <c r="I68" s="6"/>
      <c r="J68" s="6"/>
      <c r="L68" s="7"/>
      <c r="Q68" s="6"/>
      <c r="R68" s="219"/>
      <c r="S68" s="219"/>
      <c r="T68" s="14"/>
      <c r="U68" s="14"/>
      <c r="V68" s="6"/>
      <c r="W68" s="5"/>
      <c r="X68" s="5"/>
      <c r="Y68" s="5"/>
      <c r="Z68" s="5"/>
      <c r="AA68" s="5"/>
    </row>
    <row r="69" spans="2:27" ht="13.5" customHeight="1" x14ac:dyDescent="0.2">
      <c r="B69" s="227"/>
      <c r="C69" s="88" t="s">
        <v>121</v>
      </c>
      <c r="D69" s="104">
        <f>1250*0.5</f>
        <v>625</v>
      </c>
      <c r="E69" s="82" t="s">
        <v>50</v>
      </c>
      <c r="F69" s="261">
        <f>'T5 Task Unit Costs'!D18</f>
        <v>12</v>
      </c>
      <c r="G69" s="265">
        <f>D69*F69</f>
        <v>7500</v>
      </c>
      <c r="H69" s="266"/>
      <c r="I69" s="6"/>
      <c r="J69" s="6"/>
      <c r="L69" s="7" t="s">
        <v>256</v>
      </c>
      <c r="Q69" s="6"/>
      <c r="R69" s="219"/>
      <c r="S69" s="219"/>
      <c r="T69" s="14"/>
      <c r="U69" s="14"/>
      <c r="V69" s="6"/>
      <c r="W69" s="5"/>
      <c r="X69" s="5"/>
      <c r="Y69" s="5"/>
      <c r="Z69" s="5"/>
      <c r="AA69" s="5"/>
    </row>
    <row r="70" spans="2:27" ht="13.5" customHeight="1" x14ac:dyDescent="0.2">
      <c r="B70" s="227"/>
      <c r="C70" s="88" t="s">
        <v>170</v>
      </c>
      <c r="D70" s="104">
        <v>625</v>
      </c>
      <c r="E70" s="82" t="s">
        <v>144</v>
      </c>
      <c r="F70" s="354">
        <f>'T5 Task Unit Costs'!D16</f>
        <v>2.5</v>
      </c>
      <c r="G70" s="265">
        <f>D70*F70</f>
        <v>1562.5</v>
      </c>
      <c r="H70" s="266"/>
      <c r="I70" s="6"/>
      <c r="J70" s="6"/>
      <c r="L70" s="7"/>
      <c r="Q70" s="6"/>
      <c r="R70" s="219"/>
      <c r="S70" s="219"/>
      <c r="T70" s="14"/>
      <c r="U70" s="14"/>
      <c r="V70" s="6"/>
      <c r="W70" s="5"/>
      <c r="X70" s="5"/>
      <c r="Y70" s="5"/>
      <c r="Z70" s="5"/>
      <c r="AA70" s="5"/>
    </row>
    <row r="71" spans="2:27" ht="13.5" customHeight="1" x14ac:dyDescent="0.2">
      <c r="B71" s="227"/>
      <c r="C71" s="88"/>
      <c r="D71" s="45"/>
      <c r="E71" s="82"/>
      <c r="F71" s="264"/>
      <c r="G71" s="284"/>
      <c r="H71" s="268"/>
      <c r="I71" s="6"/>
      <c r="J71" s="6"/>
      <c r="L71" s="7"/>
      <c r="Q71" s="6"/>
      <c r="R71" s="219"/>
      <c r="S71" s="219"/>
      <c r="T71" s="14"/>
      <c r="U71" s="14"/>
      <c r="V71" s="6"/>
      <c r="W71" s="5"/>
      <c r="X71" s="5"/>
      <c r="Y71" s="5"/>
      <c r="Z71" s="5"/>
      <c r="AA71" s="5"/>
    </row>
    <row r="72" spans="2:27" ht="13.5" customHeight="1" thickBot="1" x14ac:dyDescent="0.25">
      <c r="B72" s="229"/>
      <c r="C72" s="230"/>
      <c r="D72" s="230"/>
      <c r="E72" s="231"/>
      <c r="F72" s="232" t="s">
        <v>1</v>
      </c>
      <c r="G72" s="271"/>
      <c r="H72" s="272">
        <v>0</v>
      </c>
      <c r="I72" s="6"/>
      <c r="J72" s="6"/>
      <c r="L72" s="7" t="s">
        <v>306</v>
      </c>
      <c r="Q72" s="6"/>
      <c r="R72" s="219"/>
      <c r="S72" s="219"/>
      <c r="T72" s="14"/>
      <c r="U72" s="14"/>
      <c r="V72" s="6"/>
      <c r="W72" s="5"/>
      <c r="X72" s="5"/>
      <c r="Y72" s="5"/>
      <c r="Z72" s="5"/>
      <c r="AA72" s="5"/>
    </row>
    <row r="73" spans="2:27" ht="13.5" customHeight="1" x14ac:dyDescent="0.2">
      <c r="B73" s="252"/>
      <c r="C73" s="244"/>
      <c r="D73" s="244"/>
      <c r="E73" s="245"/>
      <c r="F73" s="246"/>
      <c r="G73" s="349"/>
      <c r="H73" s="350"/>
      <c r="I73" s="6"/>
      <c r="J73" s="6"/>
      <c r="L73" s="7"/>
      <c r="Q73" s="6"/>
      <c r="R73" s="219"/>
      <c r="S73" s="219"/>
      <c r="T73" s="14"/>
      <c r="U73" s="14"/>
      <c r="V73" s="6"/>
      <c r="W73" s="5"/>
      <c r="X73" s="5"/>
      <c r="Y73" s="5"/>
      <c r="Z73" s="5"/>
      <c r="AA73" s="5"/>
    </row>
    <row r="74" spans="2:27" ht="13.5" customHeight="1" x14ac:dyDescent="0.2">
      <c r="B74" s="252"/>
      <c r="C74" s="244"/>
      <c r="D74" s="244"/>
      <c r="E74" s="245"/>
      <c r="F74" s="246"/>
      <c r="G74" s="349"/>
      <c r="H74" s="350"/>
      <c r="I74" s="6"/>
      <c r="J74" s="6"/>
      <c r="L74" s="7"/>
      <c r="Q74" s="6"/>
      <c r="R74" s="219"/>
      <c r="S74" s="219"/>
      <c r="T74" s="14"/>
      <c r="U74" s="14"/>
      <c r="V74" s="6"/>
      <c r="W74" s="5"/>
      <c r="X74" s="5"/>
      <c r="Y74" s="5"/>
      <c r="Z74" s="5"/>
      <c r="AA74" s="5"/>
    </row>
    <row r="75" spans="2:27" ht="13.5" customHeight="1" x14ac:dyDescent="0.2">
      <c r="B75" s="252"/>
      <c r="C75" s="244"/>
      <c r="D75" s="244"/>
      <c r="E75" s="245"/>
      <c r="F75" s="246"/>
      <c r="G75" s="349"/>
      <c r="H75" s="350"/>
      <c r="I75" s="6"/>
      <c r="J75" s="6"/>
      <c r="L75" s="7"/>
      <c r="Q75" s="6"/>
      <c r="R75" s="219"/>
      <c r="S75" s="219"/>
      <c r="T75" s="14"/>
      <c r="U75" s="14"/>
      <c r="V75" s="6"/>
      <c r="W75" s="5"/>
      <c r="X75" s="5"/>
      <c r="Y75" s="5"/>
      <c r="Z75" s="5"/>
      <c r="AA75" s="5"/>
    </row>
    <row r="76" spans="2:27" ht="13.5" customHeight="1" thickBot="1" x14ac:dyDescent="0.25">
      <c r="B76" s="252"/>
      <c r="C76" s="244"/>
      <c r="D76" s="244"/>
      <c r="E76" s="245"/>
      <c r="F76" s="246"/>
      <c r="G76" s="349"/>
      <c r="H76" s="350"/>
      <c r="I76" s="6"/>
      <c r="J76" s="6"/>
      <c r="L76" s="7"/>
      <c r="Q76" s="6"/>
      <c r="R76" s="219"/>
      <c r="S76" s="219"/>
      <c r="T76" s="14"/>
      <c r="U76" s="14"/>
      <c r="V76" s="6"/>
      <c r="W76" s="5"/>
      <c r="X76" s="5"/>
      <c r="Y76" s="5"/>
      <c r="Z76" s="5"/>
      <c r="AA76" s="5"/>
    </row>
    <row r="77" spans="2:27" ht="13.5" customHeight="1" x14ac:dyDescent="0.2">
      <c r="B77" s="235" t="s">
        <v>251</v>
      </c>
      <c r="C77" s="76"/>
      <c r="D77" s="77"/>
      <c r="E77" s="78"/>
      <c r="F77" s="77"/>
      <c r="G77" s="298"/>
      <c r="H77" s="79"/>
      <c r="I77" s="6"/>
      <c r="J77" s="6"/>
      <c r="L77" s="7"/>
      <c r="Q77" s="6"/>
      <c r="R77" s="219"/>
      <c r="S77" s="219"/>
      <c r="T77" s="14"/>
      <c r="U77" s="14"/>
      <c r="V77" s="6"/>
      <c r="W77" s="5"/>
      <c r="X77" s="5"/>
      <c r="Y77" s="5"/>
      <c r="Z77" s="5"/>
      <c r="AA77" s="5"/>
    </row>
    <row r="78" spans="2:27" ht="13.5" customHeight="1" x14ac:dyDescent="0.2">
      <c r="B78" s="225"/>
      <c r="C78" s="300" t="s">
        <v>229</v>
      </c>
      <c r="D78" s="124"/>
      <c r="E78" s="100"/>
      <c r="F78" s="123"/>
      <c r="G78" s="226"/>
      <c r="H78" s="105"/>
      <c r="I78" s="6"/>
      <c r="J78" s="6"/>
      <c r="L78" s="7"/>
      <c r="Q78" s="6"/>
      <c r="R78" s="219"/>
      <c r="S78" s="219"/>
      <c r="T78" s="14"/>
      <c r="U78" s="14"/>
      <c r="V78" s="6"/>
      <c r="W78" s="5"/>
      <c r="X78" s="5"/>
      <c r="Y78" s="5"/>
      <c r="Z78" s="5"/>
      <c r="AA78" s="5"/>
    </row>
    <row r="79" spans="2:27" ht="13.5" customHeight="1" x14ac:dyDescent="0.2">
      <c r="B79" s="227"/>
      <c r="C79" s="88" t="s">
        <v>140</v>
      </c>
      <c r="D79" s="104"/>
      <c r="E79" s="135" t="s">
        <v>30</v>
      </c>
      <c r="F79" s="261">
        <v>1000</v>
      </c>
      <c r="G79" s="265">
        <f>D79*F79</f>
        <v>0</v>
      </c>
      <c r="H79" s="105"/>
      <c r="I79" s="6"/>
      <c r="J79" s="6"/>
      <c r="L79" s="7"/>
      <c r="Q79" s="6"/>
      <c r="R79" s="219"/>
      <c r="S79" s="219"/>
      <c r="T79" s="14"/>
      <c r="U79" s="14"/>
      <c r="V79" s="6"/>
      <c r="W79" s="5"/>
      <c r="X79" s="5"/>
      <c r="Y79" s="5"/>
      <c r="Z79" s="5"/>
      <c r="AA79" s="5"/>
    </row>
    <row r="80" spans="2:27" ht="13.5" customHeight="1" x14ac:dyDescent="0.2">
      <c r="B80" s="227"/>
      <c r="C80" s="88" t="s">
        <v>141</v>
      </c>
      <c r="D80" s="45"/>
      <c r="E80" s="45" t="s">
        <v>50</v>
      </c>
      <c r="F80" s="302">
        <f>'T5 Task Unit Costs'!D16</f>
        <v>2.5</v>
      </c>
      <c r="G80" s="265">
        <f>D80*F80</f>
        <v>0</v>
      </c>
      <c r="H80" s="83"/>
      <c r="I80" s="6"/>
      <c r="J80" s="6"/>
      <c r="L80" s="7"/>
      <c r="Q80" s="6"/>
      <c r="R80" s="219"/>
      <c r="S80" s="219"/>
      <c r="T80" s="14"/>
      <c r="U80" s="14"/>
      <c r="V80" s="6"/>
      <c r="W80" s="5"/>
      <c r="X80" s="5"/>
      <c r="Y80" s="5"/>
      <c r="Z80" s="5"/>
      <c r="AA80" s="5"/>
    </row>
    <row r="81" spans="2:27" ht="13.5" customHeight="1" x14ac:dyDescent="0.2">
      <c r="B81" s="227"/>
      <c r="C81" s="88"/>
      <c r="D81" s="104"/>
      <c r="E81" s="135"/>
      <c r="F81" s="261"/>
      <c r="G81" s="226"/>
      <c r="H81" s="105"/>
      <c r="I81" s="6"/>
      <c r="J81" s="6"/>
      <c r="L81" s="7"/>
      <c r="Q81" s="6"/>
      <c r="R81" s="219"/>
      <c r="S81" s="219"/>
      <c r="T81" s="14"/>
      <c r="U81" s="14"/>
      <c r="V81" s="6"/>
      <c r="W81" s="5"/>
      <c r="X81" s="5"/>
      <c r="Y81" s="5"/>
      <c r="Z81" s="5"/>
      <c r="AA81" s="5"/>
    </row>
    <row r="82" spans="2:27" ht="13.5" customHeight="1" x14ac:dyDescent="0.2">
      <c r="B82" s="227"/>
      <c r="C82" s="300" t="s">
        <v>228</v>
      </c>
      <c r="D82" s="104"/>
      <c r="E82" s="82"/>
      <c r="F82" s="261"/>
      <c r="G82" s="226"/>
      <c r="H82" s="105"/>
      <c r="I82" s="6"/>
      <c r="J82" s="6"/>
      <c r="L82" s="7"/>
      <c r="Q82" s="6"/>
      <c r="R82" s="219"/>
      <c r="S82" s="219"/>
      <c r="T82" s="14"/>
      <c r="U82" s="14"/>
      <c r="V82" s="6"/>
      <c r="W82" s="5"/>
      <c r="X82" s="5"/>
      <c r="Y82" s="5"/>
      <c r="Z82" s="5"/>
      <c r="AA82" s="5"/>
    </row>
    <row r="83" spans="2:27" ht="13.5" customHeight="1" x14ac:dyDescent="0.2">
      <c r="B83" s="227"/>
      <c r="C83" s="88" t="s">
        <v>142</v>
      </c>
      <c r="D83" s="104"/>
      <c r="E83" s="82" t="s">
        <v>30</v>
      </c>
      <c r="F83" s="261">
        <v>5000</v>
      </c>
      <c r="G83" s="265">
        <f>D83*F83</f>
        <v>0</v>
      </c>
      <c r="H83" s="105"/>
      <c r="I83" s="6"/>
      <c r="J83" s="6"/>
      <c r="L83" s="7"/>
      <c r="Q83" s="6"/>
      <c r="R83" s="219"/>
      <c r="S83" s="219"/>
      <c r="T83" s="14"/>
      <c r="U83" s="14"/>
      <c r="V83" s="6"/>
      <c r="W83" s="5"/>
      <c r="X83" s="5"/>
      <c r="Y83" s="5"/>
      <c r="Z83" s="5"/>
      <c r="AA83" s="5"/>
    </row>
    <row r="84" spans="2:27" ht="13.5" customHeight="1" x14ac:dyDescent="0.2">
      <c r="B84" s="227"/>
      <c r="C84" s="88" t="s">
        <v>189</v>
      </c>
      <c r="D84" s="104"/>
      <c r="E84" s="82" t="s">
        <v>50</v>
      </c>
      <c r="F84" s="263">
        <f>'T5 Task Unit Costs'!D16</f>
        <v>2.5</v>
      </c>
      <c r="G84" s="265">
        <f>D84*F84</f>
        <v>0</v>
      </c>
      <c r="H84" s="105"/>
      <c r="I84" s="6"/>
      <c r="J84" s="6"/>
      <c r="L84" s="7"/>
      <c r="Q84" s="6"/>
      <c r="R84" s="219"/>
      <c r="S84" s="219"/>
      <c r="T84" s="14"/>
      <c r="U84" s="14"/>
      <c r="V84" s="6"/>
      <c r="W84" s="5"/>
      <c r="X84" s="5"/>
      <c r="Y84" s="5"/>
      <c r="Z84" s="5"/>
      <c r="AA84" s="5"/>
    </row>
    <row r="85" spans="2:27" ht="13.5" customHeight="1" x14ac:dyDescent="0.2">
      <c r="B85" s="227"/>
      <c r="C85" s="88" t="s">
        <v>143</v>
      </c>
      <c r="D85" s="104"/>
      <c r="E85" s="82" t="s">
        <v>30</v>
      </c>
      <c r="F85" s="261">
        <v>5000</v>
      </c>
      <c r="G85" s="265">
        <f>D85*F85</f>
        <v>0</v>
      </c>
      <c r="H85" s="105"/>
      <c r="I85" s="6"/>
      <c r="J85" s="6"/>
      <c r="L85" s="7"/>
      <c r="Q85" s="6"/>
      <c r="R85" s="219"/>
      <c r="S85" s="219"/>
      <c r="T85" s="14"/>
      <c r="U85" s="14"/>
      <c r="V85" s="6"/>
      <c r="W85" s="5"/>
      <c r="X85" s="5"/>
      <c r="Y85" s="5"/>
      <c r="Z85" s="5"/>
      <c r="AA85" s="5"/>
    </row>
    <row r="86" spans="2:27" ht="13.5" customHeight="1" x14ac:dyDescent="0.2">
      <c r="B86" s="227"/>
      <c r="C86" s="88" t="s">
        <v>141</v>
      </c>
      <c r="D86" s="104"/>
      <c r="E86" s="82" t="s">
        <v>50</v>
      </c>
      <c r="F86" s="263">
        <f>'T5 Task Unit Costs'!D16</f>
        <v>2.5</v>
      </c>
      <c r="G86" s="265">
        <f>D86*F86</f>
        <v>0</v>
      </c>
      <c r="H86" s="105"/>
      <c r="I86" s="6"/>
      <c r="J86" s="6"/>
      <c r="L86" s="7"/>
      <c r="Q86" s="6"/>
      <c r="R86" s="219"/>
      <c r="S86" s="219"/>
      <c r="T86" s="14"/>
      <c r="U86" s="14"/>
      <c r="V86" s="6"/>
      <c r="W86" s="5"/>
      <c r="X86" s="5"/>
      <c r="Y86" s="5"/>
      <c r="Z86" s="5"/>
      <c r="AA86" s="5"/>
    </row>
    <row r="87" spans="2:27" ht="13.5" customHeight="1" x14ac:dyDescent="0.2">
      <c r="B87" s="227"/>
      <c r="C87" s="88"/>
      <c r="D87" s="45"/>
      <c r="E87" s="82"/>
      <c r="F87" s="264"/>
      <c r="G87" s="284"/>
      <c r="H87" s="268"/>
      <c r="I87" s="6"/>
      <c r="J87" s="6"/>
      <c r="L87" s="7"/>
      <c r="Q87" s="6"/>
      <c r="R87" s="219"/>
      <c r="S87" s="219"/>
      <c r="T87" s="14"/>
      <c r="U87" s="14"/>
      <c r="V87" s="6"/>
      <c r="W87" s="5"/>
      <c r="X87" s="5"/>
      <c r="Y87" s="5"/>
      <c r="Z87" s="5"/>
      <c r="AA87" s="5"/>
    </row>
    <row r="88" spans="2:27" ht="13.5" customHeight="1" thickBot="1" x14ac:dyDescent="0.25">
      <c r="B88" s="229"/>
      <c r="C88" s="230"/>
      <c r="D88" s="230"/>
      <c r="E88" s="231"/>
      <c r="F88" s="270" t="s">
        <v>1</v>
      </c>
      <c r="G88" s="271"/>
      <c r="H88" s="272">
        <f>SUM(G79:G87)</f>
        <v>0</v>
      </c>
      <c r="I88" s="6"/>
      <c r="J88" s="6"/>
      <c r="L88" s="7" t="s">
        <v>302</v>
      </c>
      <c r="Q88" s="6"/>
      <c r="R88" s="219"/>
      <c r="S88" s="219"/>
      <c r="T88" s="14"/>
      <c r="U88" s="14"/>
      <c r="V88" s="6"/>
      <c r="W88" s="5"/>
      <c r="X88" s="5"/>
      <c r="Y88" s="5"/>
      <c r="Z88" s="5"/>
      <c r="AA88" s="5"/>
    </row>
    <row r="89" spans="2:27" ht="13.5" customHeight="1" x14ac:dyDescent="0.2">
      <c r="B89" s="235" t="s">
        <v>252</v>
      </c>
      <c r="C89" s="76"/>
      <c r="D89" s="77"/>
      <c r="E89" s="78"/>
      <c r="F89" s="77"/>
      <c r="G89" s="298"/>
      <c r="H89" s="79"/>
      <c r="I89" s="6"/>
      <c r="J89" s="6"/>
      <c r="L89" s="7"/>
      <c r="Q89" s="6"/>
      <c r="R89" s="219"/>
      <c r="S89" s="219"/>
      <c r="T89" s="14"/>
      <c r="U89" s="14"/>
      <c r="V89" s="6"/>
      <c r="W89" s="5"/>
      <c r="X89" s="5"/>
      <c r="Y89" s="5"/>
      <c r="Z89" s="5"/>
      <c r="AA89" s="5"/>
    </row>
    <row r="90" spans="2:27" ht="13.5" customHeight="1" x14ac:dyDescent="0.2">
      <c r="B90" s="225"/>
      <c r="C90" s="300" t="s">
        <v>146</v>
      </c>
      <c r="D90" s="104"/>
      <c r="E90" s="135"/>
      <c r="F90" s="261"/>
      <c r="G90" s="265"/>
      <c r="H90" s="266"/>
      <c r="I90" s="6"/>
      <c r="J90" s="6"/>
      <c r="L90" s="7"/>
      <c r="Q90" s="6"/>
      <c r="R90" s="219"/>
      <c r="S90" s="219"/>
      <c r="T90" s="14"/>
      <c r="U90" s="14"/>
      <c r="V90" s="6"/>
      <c r="W90" s="5"/>
      <c r="X90" s="5"/>
      <c r="Y90" s="5"/>
      <c r="Z90" s="5"/>
      <c r="AA90" s="5"/>
    </row>
    <row r="91" spans="2:27" ht="13.5" customHeight="1" x14ac:dyDescent="0.2">
      <c r="B91" s="227"/>
      <c r="C91" s="88" t="s">
        <v>241</v>
      </c>
      <c r="D91" s="104">
        <v>1</v>
      </c>
      <c r="E91" s="135" t="s">
        <v>30</v>
      </c>
      <c r="F91" s="261">
        <v>7000</v>
      </c>
      <c r="G91" s="265">
        <f>D91*F91</f>
        <v>7000</v>
      </c>
      <c r="H91" s="266"/>
      <c r="I91" s="6"/>
      <c r="J91" s="6"/>
      <c r="L91" s="7" t="s">
        <v>287</v>
      </c>
      <c r="Q91" s="6"/>
      <c r="R91" s="219"/>
      <c r="S91" s="219"/>
      <c r="T91" s="14"/>
      <c r="U91" s="14"/>
      <c r="V91" s="6"/>
      <c r="W91" s="5"/>
      <c r="X91" s="5"/>
      <c r="Y91" s="5"/>
      <c r="Z91" s="5"/>
      <c r="AA91" s="5"/>
    </row>
    <row r="92" spans="2:27" ht="13.5" customHeight="1" x14ac:dyDescent="0.2">
      <c r="B92" s="227"/>
      <c r="C92" s="300" t="s">
        <v>147</v>
      </c>
      <c r="D92" s="45"/>
      <c r="E92" s="45"/>
      <c r="F92" s="262"/>
      <c r="G92" s="267"/>
      <c r="H92" s="268"/>
      <c r="I92" s="6"/>
      <c r="J92" s="6"/>
      <c r="L92" s="7"/>
      <c r="Q92" s="6"/>
      <c r="R92" s="219"/>
      <c r="S92" s="219"/>
      <c r="T92" s="14"/>
      <c r="U92" s="14"/>
      <c r="V92" s="6"/>
      <c r="W92" s="5"/>
      <c r="X92" s="5"/>
      <c r="Y92" s="5"/>
      <c r="Z92" s="5"/>
      <c r="AA92" s="5"/>
    </row>
    <row r="93" spans="2:27" ht="13.5" customHeight="1" x14ac:dyDescent="0.2">
      <c r="B93" s="227"/>
      <c r="C93" s="88" t="s">
        <v>148</v>
      </c>
      <c r="D93" s="104">
        <v>10</v>
      </c>
      <c r="E93" s="135" t="s">
        <v>195</v>
      </c>
      <c r="F93" s="261">
        <f>'T5 Task Unit Costs'!D33</f>
        <v>281.21600000000007</v>
      </c>
      <c r="G93" s="265">
        <f>D93*F93</f>
        <v>2812.1600000000008</v>
      </c>
      <c r="H93" s="266"/>
      <c r="I93" s="6"/>
      <c r="J93" s="6"/>
      <c r="L93" s="7" t="s">
        <v>227</v>
      </c>
      <c r="Q93" s="6"/>
      <c r="R93" s="219"/>
      <c r="S93" s="219"/>
      <c r="T93" s="14"/>
      <c r="U93" s="14"/>
      <c r="V93" s="6"/>
      <c r="W93" s="5"/>
      <c r="X93" s="5"/>
      <c r="Y93" s="5"/>
      <c r="Z93" s="5"/>
      <c r="AA93" s="5"/>
    </row>
    <row r="94" spans="2:27" ht="13.5" customHeight="1" x14ac:dyDescent="0.2">
      <c r="B94" s="227"/>
      <c r="C94" s="88"/>
      <c r="D94" s="104"/>
      <c r="E94" s="135"/>
      <c r="F94" s="261"/>
      <c r="G94" s="265"/>
      <c r="H94" s="266"/>
      <c r="I94" s="6"/>
      <c r="J94" s="6"/>
      <c r="L94" s="7"/>
      <c r="Q94" s="6"/>
      <c r="R94" s="219"/>
      <c r="S94" s="219"/>
      <c r="T94" s="14"/>
      <c r="U94" s="14"/>
      <c r="V94" s="6"/>
      <c r="W94" s="5"/>
      <c r="X94" s="5"/>
      <c r="Y94" s="5"/>
      <c r="Z94" s="5"/>
      <c r="AA94" s="5"/>
    </row>
    <row r="95" spans="2:27" ht="13.5" customHeight="1" x14ac:dyDescent="0.2">
      <c r="B95" s="227"/>
      <c r="C95" s="300" t="s">
        <v>324</v>
      </c>
      <c r="D95" s="104"/>
      <c r="E95" s="135"/>
      <c r="F95" s="261"/>
      <c r="G95" s="265"/>
      <c r="H95" s="266"/>
      <c r="I95" s="6"/>
      <c r="J95" s="6"/>
      <c r="L95" s="7"/>
      <c r="Q95" s="6"/>
      <c r="R95" s="219"/>
      <c r="S95" s="219"/>
      <c r="T95" s="14"/>
      <c r="U95" s="14"/>
      <c r="V95" s="6"/>
      <c r="W95" s="5"/>
      <c r="X95" s="5"/>
      <c r="Y95" s="5"/>
      <c r="Z95" s="5"/>
      <c r="AA95" s="5"/>
    </row>
    <row r="96" spans="2:27" ht="13.5" customHeight="1" x14ac:dyDescent="0.2">
      <c r="B96" s="227"/>
      <c r="C96" s="88" t="s">
        <v>325</v>
      </c>
      <c r="D96" s="104">
        <v>500</v>
      </c>
      <c r="E96" s="135" t="s">
        <v>50</v>
      </c>
      <c r="F96" s="263">
        <f>'T5 Task Unit Costs'!D15</f>
        <v>2.5</v>
      </c>
      <c r="G96" s="265">
        <f>D96*F96</f>
        <v>1250</v>
      </c>
      <c r="H96" s="266"/>
      <c r="I96" s="6"/>
      <c r="J96" s="6"/>
      <c r="L96" s="7" t="s">
        <v>327</v>
      </c>
      <c r="Q96" s="6"/>
      <c r="R96" s="219"/>
      <c r="S96" s="219"/>
      <c r="T96" s="14"/>
      <c r="U96" s="14"/>
      <c r="V96" s="6"/>
      <c r="W96" s="5"/>
      <c r="X96" s="5"/>
      <c r="Y96" s="5"/>
      <c r="Z96" s="5"/>
      <c r="AA96" s="5"/>
    </row>
    <row r="97" spans="2:27" ht="13.5" customHeight="1" x14ac:dyDescent="0.2">
      <c r="B97" s="227"/>
      <c r="C97" s="88" t="s">
        <v>326</v>
      </c>
      <c r="D97" s="104">
        <v>20</v>
      </c>
      <c r="E97" s="135" t="s">
        <v>30</v>
      </c>
      <c r="F97" s="261">
        <f>'T4 Eqpmnt &amp; Labour Rates'!C37</f>
        <v>170</v>
      </c>
      <c r="G97" s="265">
        <f>D97*F97</f>
        <v>3400</v>
      </c>
      <c r="H97" s="266"/>
      <c r="I97" s="6"/>
      <c r="J97" s="6"/>
      <c r="L97" s="7"/>
      <c r="Q97" s="6"/>
      <c r="R97" s="219"/>
      <c r="S97" s="219"/>
      <c r="T97" s="14"/>
      <c r="U97" s="14"/>
      <c r="V97" s="6"/>
      <c r="W97" s="5"/>
      <c r="X97" s="5"/>
      <c r="Y97" s="5"/>
      <c r="Z97" s="5"/>
      <c r="AA97" s="5"/>
    </row>
    <row r="98" spans="2:27" ht="13.5" customHeight="1" x14ac:dyDescent="0.2">
      <c r="B98" s="227"/>
      <c r="C98" s="88"/>
      <c r="D98" s="45"/>
      <c r="E98" s="82"/>
      <c r="F98" s="264"/>
      <c r="G98" s="284"/>
      <c r="H98" s="268"/>
      <c r="I98" s="6"/>
      <c r="J98" s="6"/>
      <c r="L98" s="7"/>
      <c r="Q98" s="6"/>
      <c r="R98" s="219"/>
      <c r="S98" s="219"/>
      <c r="T98" s="14"/>
      <c r="U98" s="14"/>
      <c r="V98" s="6"/>
      <c r="W98" s="5"/>
      <c r="X98" s="5"/>
      <c r="Y98" s="5"/>
      <c r="Z98" s="5"/>
      <c r="AA98" s="5"/>
    </row>
    <row r="99" spans="2:27" ht="13.5" customHeight="1" thickBot="1" x14ac:dyDescent="0.25">
      <c r="B99" s="229"/>
      <c r="C99" s="230"/>
      <c r="D99" s="230"/>
      <c r="E99" s="231"/>
      <c r="F99" s="270" t="s">
        <v>1</v>
      </c>
      <c r="G99" s="271"/>
      <c r="H99" s="272">
        <f>SUM(G90:G98)</f>
        <v>14462.16</v>
      </c>
      <c r="I99" s="6"/>
      <c r="J99" s="6"/>
      <c r="L99" s="7"/>
      <c r="Q99" s="6"/>
      <c r="R99" s="219"/>
      <c r="S99" s="219"/>
      <c r="T99" s="14"/>
      <c r="U99" s="14"/>
      <c r="V99" s="6"/>
      <c r="W99" s="5"/>
      <c r="X99" s="5"/>
      <c r="Y99" s="5"/>
      <c r="Z99" s="5"/>
      <c r="AA99" s="5"/>
    </row>
    <row r="100" spans="2:27" ht="13.5" customHeight="1" x14ac:dyDescent="0.2">
      <c r="B100" s="235" t="s">
        <v>253</v>
      </c>
      <c r="C100" s="76"/>
      <c r="D100" s="77"/>
      <c r="E100" s="78"/>
      <c r="F100" s="77"/>
      <c r="G100" s="298"/>
      <c r="H100" s="79"/>
      <c r="I100" s="6"/>
      <c r="J100" s="6"/>
      <c r="L100" s="7"/>
      <c r="Q100" s="6"/>
      <c r="R100" s="219"/>
      <c r="S100" s="219"/>
      <c r="T100" s="14"/>
      <c r="U100" s="14"/>
      <c r="V100" s="6"/>
      <c r="W100" s="5"/>
      <c r="X100" s="5"/>
      <c r="Y100" s="5"/>
      <c r="Z100" s="5"/>
      <c r="AA100" s="5"/>
    </row>
    <row r="101" spans="2:27" ht="13.5" customHeight="1" x14ac:dyDescent="0.2">
      <c r="B101" s="227"/>
      <c r="C101" s="88" t="s">
        <v>149</v>
      </c>
      <c r="D101" s="104">
        <v>3</v>
      </c>
      <c r="E101" s="82" t="s">
        <v>145</v>
      </c>
      <c r="F101" s="261">
        <f>('T4 Eqpmnt &amp; Labour Rates'!C6)*8</f>
        <v>2000</v>
      </c>
      <c r="G101" s="265">
        <f>D101*F101</f>
        <v>6000</v>
      </c>
      <c r="H101" s="266"/>
      <c r="I101" s="6"/>
      <c r="J101" s="6"/>
      <c r="L101" s="7" t="s">
        <v>184</v>
      </c>
      <c r="Q101" s="6"/>
      <c r="R101" s="219"/>
      <c r="S101" s="219"/>
      <c r="T101" s="14"/>
      <c r="U101" s="14"/>
      <c r="V101" s="6"/>
      <c r="W101" s="5"/>
      <c r="X101" s="5"/>
      <c r="Y101" s="5"/>
      <c r="Z101" s="5"/>
      <c r="AA101" s="5"/>
    </row>
    <row r="102" spans="2:27" ht="13.5" customHeight="1" x14ac:dyDescent="0.2">
      <c r="B102" s="227"/>
      <c r="C102" s="88"/>
      <c r="D102" s="104"/>
      <c r="E102" s="82"/>
      <c r="F102" s="263"/>
      <c r="G102" s="265"/>
      <c r="H102" s="266"/>
      <c r="I102" s="6"/>
      <c r="J102" s="6"/>
      <c r="L102" s="7"/>
      <c r="Q102" s="6"/>
      <c r="R102" s="219"/>
      <c r="S102" s="219"/>
      <c r="T102" s="14"/>
      <c r="U102" s="14"/>
      <c r="V102" s="6"/>
      <c r="W102" s="5"/>
      <c r="X102" s="5"/>
      <c r="Y102" s="5"/>
      <c r="Z102" s="5"/>
      <c r="AA102" s="5"/>
    </row>
    <row r="103" spans="2:27" ht="13.5" customHeight="1" x14ac:dyDescent="0.2">
      <c r="B103" s="227"/>
      <c r="C103" s="88"/>
      <c r="D103" s="45"/>
      <c r="E103" s="82"/>
      <c r="F103" s="264"/>
      <c r="G103" s="284"/>
      <c r="H103" s="268"/>
      <c r="I103" s="6"/>
      <c r="J103" s="6"/>
      <c r="L103" s="7"/>
      <c r="Q103" s="6"/>
      <c r="R103" s="219"/>
      <c r="S103" s="219"/>
      <c r="T103" s="14"/>
      <c r="U103" s="14"/>
      <c r="V103" s="6"/>
      <c r="W103" s="5"/>
      <c r="X103" s="5"/>
      <c r="Y103" s="5"/>
      <c r="Z103" s="5"/>
      <c r="AA103" s="5"/>
    </row>
    <row r="104" spans="2:27" ht="13.5" customHeight="1" thickBot="1" x14ac:dyDescent="0.25">
      <c r="B104" s="229"/>
      <c r="C104" s="230"/>
      <c r="D104" s="152"/>
      <c r="E104" s="269"/>
      <c r="F104" s="270" t="s">
        <v>1</v>
      </c>
      <c r="G104" s="271"/>
      <c r="H104" s="272">
        <f>SUM(G101:G103)</f>
        <v>6000</v>
      </c>
      <c r="I104" s="6"/>
      <c r="J104" s="6"/>
      <c r="L104" s="7"/>
      <c r="Q104" s="6"/>
      <c r="R104" s="219"/>
      <c r="S104" s="219"/>
      <c r="T104" s="14"/>
      <c r="U104" s="14"/>
      <c r="V104" s="6"/>
      <c r="W104" s="5"/>
      <c r="X104" s="5"/>
      <c r="Y104" s="5"/>
      <c r="Z104" s="5"/>
      <c r="AA104" s="5"/>
    </row>
    <row r="105" spans="2:27" ht="13.5" customHeight="1" x14ac:dyDescent="0.2">
      <c r="B105" s="235" t="s">
        <v>254</v>
      </c>
      <c r="C105" s="76"/>
      <c r="D105" s="77"/>
      <c r="E105" s="78"/>
      <c r="F105" s="77"/>
      <c r="G105" s="298"/>
      <c r="H105" s="79"/>
      <c r="I105" s="6"/>
      <c r="J105" s="6"/>
      <c r="L105" s="7"/>
      <c r="Q105" s="6"/>
      <c r="R105" s="219"/>
      <c r="S105" s="219"/>
      <c r="T105" s="14"/>
      <c r="U105" s="14"/>
      <c r="V105" s="6"/>
      <c r="W105" s="5"/>
      <c r="X105" s="5"/>
      <c r="Y105" s="5"/>
      <c r="Z105" s="5"/>
      <c r="AA105" s="5"/>
    </row>
    <row r="106" spans="2:27" ht="13.5" customHeight="1" x14ac:dyDescent="0.2">
      <c r="B106" s="227"/>
      <c r="C106" s="300" t="s">
        <v>93</v>
      </c>
      <c r="D106" s="104"/>
      <c r="E106" s="135"/>
      <c r="F106" s="261"/>
      <c r="G106" s="265"/>
      <c r="H106" s="266"/>
      <c r="I106" s="6"/>
      <c r="J106" s="6"/>
      <c r="L106" s="7"/>
      <c r="Q106" s="6"/>
      <c r="R106" s="219"/>
      <c r="S106" s="219"/>
      <c r="T106" s="14"/>
      <c r="U106" s="14"/>
      <c r="V106" s="6"/>
      <c r="W106" s="5"/>
      <c r="X106" s="5"/>
      <c r="Y106" s="5"/>
      <c r="Z106" s="5"/>
      <c r="AA106" s="5"/>
    </row>
    <row r="107" spans="2:27" ht="13.5" customHeight="1" x14ac:dyDescent="0.2">
      <c r="B107" s="227"/>
      <c r="C107" s="88" t="s">
        <v>226</v>
      </c>
      <c r="D107" s="45">
        <v>3108</v>
      </c>
      <c r="E107" s="45" t="s">
        <v>151</v>
      </c>
      <c r="F107" s="302">
        <f>1.3* (1/5400)*'T4 Eqpmnt &amp; Labour Rates'!$C$29</f>
        <v>4.6944444444444446</v>
      </c>
      <c r="G107" s="265">
        <f>D107*F107</f>
        <v>14590.333333333334</v>
      </c>
      <c r="H107" s="268"/>
      <c r="I107" s="6"/>
      <c r="J107" s="6"/>
      <c r="L107" s="7" t="s">
        <v>171</v>
      </c>
      <c r="Q107" s="6"/>
      <c r="R107" s="219"/>
      <c r="S107" s="219"/>
      <c r="T107" s="14"/>
      <c r="U107" s="14"/>
      <c r="V107" s="6"/>
      <c r="W107" s="5"/>
      <c r="X107" s="5"/>
      <c r="Y107" s="5"/>
      <c r="Z107" s="5"/>
      <c r="AA107" s="5"/>
    </row>
    <row r="108" spans="2:27" ht="13.5" customHeight="1" x14ac:dyDescent="0.2">
      <c r="B108" s="227"/>
      <c r="C108" s="88" t="s">
        <v>271</v>
      </c>
      <c r="D108" s="104">
        <v>1710</v>
      </c>
      <c r="E108" s="135" t="s">
        <v>151</v>
      </c>
      <c r="F108" s="302">
        <f>1.3* (1/5400)*'T4 Eqpmnt &amp; Labour Rates'!$C$29</f>
        <v>4.6944444444444446</v>
      </c>
      <c r="G108" s="265">
        <v>0</v>
      </c>
      <c r="H108" s="266"/>
      <c r="I108" s="6"/>
      <c r="J108" s="6"/>
      <c r="L108" s="7" t="s">
        <v>321</v>
      </c>
      <c r="Q108" s="6"/>
      <c r="R108" s="219"/>
      <c r="S108" s="219"/>
      <c r="T108" s="14"/>
      <c r="U108" s="14"/>
      <c r="V108" s="6"/>
      <c r="W108" s="5"/>
      <c r="X108" s="5"/>
      <c r="Y108" s="5"/>
      <c r="Z108" s="5"/>
      <c r="AA108" s="5"/>
    </row>
    <row r="109" spans="2:27" ht="13.5" customHeight="1" x14ac:dyDescent="0.2">
      <c r="B109" s="227"/>
      <c r="C109" s="300" t="s">
        <v>284</v>
      </c>
      <c r="D109" s="104"/>
      <c r="E109" s="135"/>
      <c r="F109" s="263"/>
      <c r="G109" s="265"/>
      <c r="H109" s="266"/>
      <c r="I109" s="6"/>
      <c r="J109" s="6"/>
      <c r="L109" s="7"/>
      <c r="Q109" s="6"/>
      <c r="R109" s="219"/>
      <c r="S109" s="219"/>
      <c r="T109" s="14"/>
      <c r="U109" s="14"/>
      <c r="V109" s="6"/>
      <c r="W109" s="5"/>
      <c r="X109" s="5"/>
      <c r="Y109" s="5"/>
      <c r="Z109" s="5"/>
      <c r="AA109" s="5"/>
    </row>
    <row r="110" spans="2:27" ht="25.5" customHeight="1" x14ac:dyDescent="0.2">
      <c r="B110" s="227"/>
      <c r="C110" s="154" t="s">
        <v>285</v>
      </c>
      <c r="D110" s="104">
        <v>1</v>
      </c>
      <c r="E110" s="135" t="s">
        <v>30</v>
      </c>
      <c r="F110" s="123">
        <f>0.2*SUM($E$180:$H$180)+SUM($E$183:$F$183)</f>
        <v>20680</v>
      </c>
      <c r="G110" s="265">
        <f>D110*F110</f>
        <v>20680</v>
      </c>
      <c r="H110" s="266"/>
      <c r="I110" s="6"/>
      <c r="J110" s="6"/>
      <c r="L110" s="7" t="s">
        <v>320</v>
      </c>
      <c r="Q110" s="6"/>
      <c r="R110" s="219"/>
      <c r="S110" s="219"/>
      <c r="T110" s="14"/>
      <c r="U110" s="14"/>
      <c r="V110" s="6"/>
      <c r="W110" s="5"/>
      <c r="X110" s="5"/>
      <c r="Y110" s="5"/>
      <c r="Z110" s="5"/>
      <c r="AA110" s="5"/>
    </row>
    <row r="111" spans="2:27" ht="13.5" customHeight="1" x14ac:dyDescent="0.2">
      <c r="B111" s="227"/>
      <c r="C111" s="88"/>
      <c r="D111" s="45"/>
      <c r="E111" s="82"/>
      <c r="F111" s="264"/>
      <c r="G111" s="284"/>
      <c r="H111" s="268"/>
      <c r="I111" s="6"/>
      <c r="J111" s="6"/>
      <c r="L111" s="7"/>
      <c r="Q111" s="6"/>
      <c r="R111" s="219"/>
      <c r="S111" s="219"/>
      <c r="T111" s="14"/>
      <c r="U111" s="14"/>
      <c r="V111" s="6"/>
      <c r="W111" s="5"/>
      <c r="X111" s="5"/>
      <c r="Y111" s="5"/>
      <c r="Z111" s="5"/>
      <c r="AA111" s="5"/>
    </row>
    <row r="112" spans="2:27" ht="13.5" customHeight="1" thickBot="1" x14ac:dyDescent="0.25">
      <c r="B112" s="229"/>
      <c r="C112" s="230"/>
      <c r="D112" s="152"/>
      <c r="E112" s="269"/>
      <c r="F112" s="270" t="s">
        <v>1</v>
      </c>
      <c r="G112" s="271"/>
      <c r="H112" s="272">
        <f>SUM(G106:G111)</f>
        <v>35270.333333333336</v>
      </c>
      <c r="I112" s="6"/>
      <c r="J112" s="6"/>
      <c r="L112" s="7"/>
      <c r="Q112" s="6"/>
      <c r="R112" s="219"/>
      <c r="S112" s="219"/>
      <c r="T112" s="14"/>
      <c r="U112" s="14"/>
      <c r="V112" s="6"/>
      <c r="W112" s="5"/>
      <c r="X112" s="5"/>
      <c r="Y112" s="5"/>
      <c r="Z112" s="5"/>
      <c r="AA112" s="5"/>
    </row>
    <row r="113" spans="2:27" ht="13.5" customHeight="1" thickBot="1" x14ac:dyDescent="0.3">
      <c r="B113" s="236"/>
      <c r="C113" s="237"/>
      <c r="D113" s="93"/>
      <c r="E113" s="273"/>
      <c r="F113" s="274" t="s">
        <v>115</v>
      </c>
      <c r="G113" s="275"/>
      <c r="H113" s="276">
        <f>SUM(H8:H112)</f>
        <v>460016.41333333333</v>
      </c>
      <c r="I113" s="6"/>
      <c r="J113" s="6"/>
      <c r="L113" s="7"/>
      <c r="Q113" s="6"/>
      <c r="R113" s="219"/>
      <c r="S113" s="219"/>
      <c r="T113" s="14"/>
      <c r="U113" s="14"/>
      <c r="V113" s="6"/>
      <c r="W113" s="5"/>
      <c r="X113" s="5"/>
      <c r="Y113" s="5"/>
      <c r="Z113" s="5"/>
      <c r="AA113" s="5"/>
    </row>
    <row r="114" spans="2:27" ht="13.5" customHeight="1" thickBot="1" x14ac:dyDescent="0.25">
      <c r="B114" s="238"/>
      <c r="C114" s="239"/>
      <c r="D114" s="239"/>
      <c r="E114" s="240"/>
      <c r="F114" s="241"/>
      <c r="G114" s="241"/>
      <c r="H114" s="242"/>
      <c r="I114" s="6"/>
      <c r="J114" s="6"/>
      <c r="L114" s="7"/>
      <c r="Q114" s="6"/>
      <c r="R114" s="219"/>
      <c r="S114" s="219"/>
      <c r="T114" s="14"/>
      <c r="U114" s="14"/>
      <c r="V114" s="6"/>
      <c r="W114" s="5"/>
      <c r="X114" s="5"/>
      <c r="Y114" s="5"/>
      <c r="Z114" s="5"/>
      <c r="AA114" s="5"/>
    </row>
    <row r="115" spans="2:27" ht="13.5" customHeight="1" x14ac:dyDescent="0.2">
      <c r="B115" s="243"/>
      <c r="C115" s="244"/>
      <c r="D115" s="244"/>
      <c r="E115" s="245"/>
      <c r="F115" s="246"/>
      <c r="G115" s="246"/>
      <c r="H115" s="246"/>
      <c r="I115" s="6"/>
      <c r="J115" s="6"/>
      <c r="L115" s="7"/>
      <c r="Q115" s="6"/>
      <c r="R115" s="219"/>
      <c r="S115" s="219"/>
      <c r="T115" s="14"/>
      <c r="U115" s="14"/>
      <c r="V115" s="6"/>
      <c r="W115" s="5"/>
      <c r="X115" s="5"/>
      <c r="Y115" s="5"/>
      <c r="Z115" s="5"/>
      <c r="AA115" s="5"/>
    </row>
    <row r="116" spans="2:27" ht="13.5" customHeight="1" x14ac:dyDescent="0.2">
      <c r="B116" s="243"/>
      <c r="C116" s="244"/>
      <c r="D116" s="244"/>
      <c r="E116" s="245"/>
      <c r="F116" s="246"/>
      <c r="G116" s="246"/>
      <c r="H116" s="246"/>
      <c r="I116" s="6"/>
      <c r="J116" s="6"/>
      <c r="L116" s="7"/>
      <c r="Q116" s="6"/>
      <c r="R116" s="219"/>
      <c r="S116" s="219"/>
      <c r="T116" s="14"/>
      <c r="U116" s="14"/>
      <c r="V116" s="6"/>
      <c r="W116" s="5"/>
      <c r="X116" s="5"/>
      <c r="Y116" s="5"/>
      <c r="Z116" s="5"/>
      <c r="AA116" s="5"/>
    </row>
    <row r="117" spans="2:27" ht="13.5" customHeight="1" thickBot="1" x14ac:dyDescent="0.3">
      <c r="B117" s="247" t="s">
        <v>78</v>
      </c>
      <c r="C117" s="248"/>
      <c r="D117" s="248"/>
      <c r="E117" s="249"/>
      <c r="F117" s="250"/>
      <c r="G117" s="250"/>
      <c r="H117" s="251"/>
      <c r="I117" s="6"/>
      <c r="J117" s="6"/>
      <c r="L117" s="7"/>
      <c r="Q117" s="6"/>
      <c r="R117" s="219"/>
      <c r="S117" s="219"/>
      <c r="T117" s="14"/>
      <c r="U117" s="14"/>
      <c r="V117" s="6"/>
      <c r="W117" s="5"/>
      <c r="X117" s="5"/>
      <c r="Y117" s="5"/>
      <c r="Z117" s="5"/>
      <c r="AA117" s="5"/>
    </row>
    <row r="118" spans="2:27" ht="13.5" customHeight="1" x14ac:dyDescent="0.2">
      <c r="B118" s="235" t="s">
        <v>109</v>
      </c>
      <c r="C118" s="76"/>
      <c r="D118" s="77"/>
      <c r="E118" s="78"/>
      <c r="F118" s="77"/>
      <c r="G118" s="298"/>
      <c r="H118" s="79"/>
      <c r="I118" s="6"/>
      <c r="J118" s="6"/>
      <c r="L118" s="7"/>
      <c r="Q118" s="6"/>
      <c r="R118" s="219"/>
      <c r="S118" s="219"/>
      <c r="T118" s="14"/>
      <c r="U118" s="14"/>
      <c r="V118" s="6"/>
      <c r="W118" s="5"/>
      <c r="X118" s="5"/>
      <c r="Y118" s="5"/>
      <c r="Z118" s="5"/>
      <c r="AA118" s="5"/>
    </row>
    <row r="119" spans="2:27" ht="13.5" customHeight="1" x14ac:dyDescent="0.2">
      <c r="B119" s="227"/>
      <c r="C119" s="88" t="s">
        <v>314</v>
      </c>
      <c r="D119" s="104">
        <v>1</v>
      </c>
      <c r="E119" s="82" t="s">
        <v>30</v>
      </c>
      <c r="F119" s="123">
        <f>0.15*(SUM(E190:H190)+SUM(E190:F190))</f>
        <v>11595</v>
      </c>
      <c r="G119" s="265">
        <f>D119*F119</f>
        <v>11595</v>
      </c>
      <c r="H119" s="105"/>
      <c r="I119" s="6"/>
      <c r="J119" s="6"/>
      <c r="L119" s="7" t="s">
        <v>317</v>
      </c>
      <c r="Q119" s="6"/>
      <c r="R119" s="219"/>
      <c r="S119" s="219"/>
      <c r="T119" s="14"/>
      <c r="U119" s="14"/>
      <c r="V119" s="6"/>
      <c r="W119" s="5"/>
      <c r="X119" s="5"/>
      <c r="Y119" s="5"/>
      <c r="Z119" s="5"/>
      <c r="AA119" s="5"/>
    </row>
    <row r="120" spans="2:27" ht="27.75" customHeight="1" x14ac:dyDescent="0.2">
      <c r="B120" s="227"/>
      <c r="C120" s="154" t="s">
        <v>315</v>
      </c>
      <c r="D120" s="104">
        <v>1</v>
      </c>
      <c r="E120" s="135" t="s">
        <v>30</v>
      </c>
      <c r="F120" s="123">
        <f>0.15*(SUM(E172:H172)+SUM(E175:F175))</f>
        <v>425235</v>
      </c>
      <c r="G120" s="265">
        <f>D120*F120</f>
        <v>425235</v>
      </c>
      <c r="H120" s="105"/>
      <c r="I120" s="6"/>
      <c r="J120" s="6"/>
      <c r="L120" s="7" t="s">
        <v>287</v>
      </c>
      <c r="Q120" s="6"/>
      <c r="R120" s="219"/>
      <c r="S120" s="219"/>
      <c r="T120" s="14"/>
      <c r="U120" s="14"/>
      <c r="V120" s="6"/>
      <c r="W120" s="5"/>
      <c r="X120" s="5"/>
      <c r="Y120" s="5"/>
      <c r="Z120" s="5"/>
      <c r="AA120" s="5"/>
    </row>
    <row r="121" spans="2:27" ht="13.5" customHeight="1" x14ac:dyDescent="0.2">
      <c r="B121" s="227"/>
      <c r="C121" s="88"/>
      <c r="D121" s="45"/>
      <c r="E121" s="82"/>
      <c r="F121" s="120"/>
      <c r="G121" s="299"/>
      <c r="H121" s="83"/>
      <c r="I121" s="6"/>
      <c r="J121" s="6"/>
      <c r="L121" s="7"/>
      <c r="Q121" s="6"/>
      <c r="R121" s="219"/>
      <c r="S121" s="219"/>
      <c r="T121" s="14"/>
      <c r="U121" s="14"/>
      <c r="V121" s="6"/>
      <c r="W121" s="5"/>
      <c r="X121" s="5"/>
      <c r="Y121" s="5"/>
      <c r="Z121" s="5"/>
      <c r="AA121" s="5"/>
    </row>
    <row r="122" spans="2:27" ht="13.5" customHeight="1" thickBot="1" x14ac:dyDescent="0.25">
      <c r="B122" s="229"/>
      <c r="C122" s="230"/>
      <c r="D122" s="230"/>
      <c r="E122" s="231"/>
      <c r="F122" s="232" t="s">
        <v>1</v>
      </c>
      <c r="G122" s="233"/>
      <c r="H122" s="234">
        <f>SUM(G120:G121)</f>
        <v>425235</v>
      </c>
      <c r="I122" s="6"/>
      <c r="J122" s="6"/>
      <c r="L122" s="7"/>
      <c r="Q122" s="6"/>
      <c r="R122" s="219"/>
      <c r="S122" s="219"/>
      <c r="T122" s="14"/>
      <c r="U122" s="14"/>
      <c r="V122" s="6"/>
      <c r="W122" s="5"/>
      <c r="X122" s="5"/>
      <c r="Y122" s="5"/>
      <c r="Z122" s="5"/>
      <c r="AA122" s="5"/>
    </row>
    <row r="123" spans="2:27" ht="13.5" customHeight="1" x14ac:dyDescent="0.2">
      <c r="B123" s="235" t="s">
        <v>204</v>
      </c>
      <c r="C123" s="76"/>
      <c r="D123" s="77"/>
      <c r="E123" s="78"/>
      <c r="F123" s="77"/>
      <c r="G123" s="298"/>
      <c r="H123" s="79"/>
      <c r="I123" s="6"/>
      <c r="J123" s="6"/>
      <c r="L123" s="7"/>
      <c r="Q123" s="6"/>
      <c r="R123" s="219"/>
      <c r="S123" s="219"/>
      <c r="T123" s="14"/>
      <c r="U123" s="14"/>
      <c r="V123" s="6"/>
      <c r="W123" s="5"/>
      <c r="X123" s="5"/>
      <c r="Y123" s="5"/>
      <c r="Z123" s="5"/>
      <c r="AA123" s="5"/>
    </row>
    <row r="124" spans="2:27" ht="13.5" customHeight="1" x14ac:dyDescent="0.2">
      <c r="B124" s="227"/>
      <c r="C124" s="88" t="s">
        <v>180</v>
      </c>
      <c r="D124" s="124">
        <v>1</v>
      </c>
      <c r="E124" s="100" t="s">
        <v>30</v>
      </c>
      <c r="F124" s="123">
        <f>'T3 Monit&amp;Report Details'!I10</f>
        <v>217600</v>
      </c>
      <c r="G124" s="265">
        <f>D124*F124</f>
        <v>217600</v>
      </c>
      <c r="H124" s="105"/>
      <c r="I124" s="6"/>
      <c r="J124" s="6"/>
      <c r="L124" s="7"/>
      <c r="Q124" s="6"/>
      <c r="R124" s="219"/>
      <c r="S124" s="219"/>
      <c r="T124" s="14"/>
      <c r="U124" s="14"/>
      <c r="V124" s="6"/>
      <c r="W124" s="5"/>
      <c r="X124" s="5"/>
      <c r="Y124" s="5"/>
      <c r="Z124" s="5"/>
      <c r="AA124" s="5"/>
    </row>
    <row r="125" spans="2:27" ht="13.5" customHeight="1" x14ac:dyDescent="0.2">
      <c r="B125" s="227"/>
      <c r="C125" s="88"/>
      <c r="D125" s="81"/>
      <c r="E125" s="101"/>
      <c r="F125" s="120"/>
      <c r="G125" s="299"/>
      <c r="H125" s="83"/>
      <c r="I125" s="6"/>
      <c r="J125" s="6"/>
      <c r="L125" s="7"/>
      <c r="Q125" s="6"/>
      <c r="R125" s="219"/>
      <c r="S125" s="219"/>
      <c r="T125" s="14"/>
      <c r="U125" s="14"/>
      <c r="V125" s="6"/>
      <c r="W125" s="5"/>
      <c r="X125" s="5"/>
      <c r="Y125" s="5"/>
      <c r="Z125" s="5"/>
      <c r="AA125" s="5"/>
    </row>
    <row r="126" spans="2:27" ht="13.5" customHeight="1" thickBot="1" x14ac:dyDescent="0.25">
      <c r="B126" s="229"/>
      <c r="C126" s="230"/>
      <c r="D126" s="230"/>
      <c r="E126" s="231"/>
      <c r="F126" s="232" t="s">
        <v>1</v>
      </c>
      <c r="G126" s="233"/>
      <c r="H126" s="234">
        <f>G124</f>
        <v>217600</v>
      </c>
      <c r="I126" s="6"/>
      <c r="J126" s="6"/>
      <c r="L126" s="7"/>
      <c r="Q126" s="6"/>
      <c r="R126" s="219"/>
      <c r="S126" s="219"/>
      <c r="T126" s="14"/>
      <c r="U126" s="14"/>
      <c r="V126" s="6"/>
      <c r="W126" s="5"/>
      <c r="X126" s="5"/>
      <c r="Y126" s="5"/>
      <c r="Z126" s="5"/>
      <c r="AA126" s="5"/>
    </row>
    <row r="127" spans="2:27" ht="13.5" customHeight="1" x14ac:dyDescent="0.2">
      <c r="B127" s="235" t="s">
        <v>205</v>
      </c>
      <c r="C127" s="76"/>
      <c r="D127" s="77"/>
      <c r="E127" s="78"/>
      <c r="F127" s="77"/>
      <c r="G127" s="298"/>
      <c r="H127" s="79"/>
      <c r="I127" s="6"/>
      <c r="J127" s="6"/>
      <c r="L127" s="7"/>
      <c r="Q127" s="6"/>
      <c r="R127" s="219"/>
      <c r="S127" s="219"/>
      <c r="T127" s="14"/>
      <c r="U127" s="14"/>
      <c r="V127" s="6"/>
      <c r="W127" s="5"/>
      <c r="X127" s="5"/>
      <c r="Y127" s="5"/>
      <c r="Z127" s="5"/>
      <c r="AA127" s="5"/>
    </row>
    <row r="128" spans="2:27" ht="13.5" customHeight="1" x14ac:dyDescent="0.2">
      <c r="B128" s="227"/>
      <c r="C128" s="300" t="s">
        <v>157</v>
      </c>
      <c r="D128" s="104"/>
      <c r="E128" s="82"/>
      <c r="F128" s="123"/>
      <c r="G128" s="226"/>
      <c r="H128" s="105"/>
      <c r="I128" s="6"/>
      <c r="J128" s="6"/>
      <c r="L128" s="7"/>
      <c r="Q128" s="6"/>
      <c r="R128" s="219"/>
      <c r="S128" s="219"/>
      <c r="T128" s="14"/>
      <c r="U128" s="14"/>
      <c r="V128" s="6"/>
      <c r="W128" s="5"/>
      <c r="X128" s="5"/>
      <c r="Y128" s="5"/>
      <c r="Z128" s="5"/>
      <c r="AA128" s="5"/>
    </row>
    <row r="129" spans="2:27" ht="13.5" customHeight="1" x14ac:dyDescent="0.2">
      <c r="B129" s="227"/>
      <c r="C129" s="88" t="s">
        <v>339</v>
      </c>
      <c r="D129" s="104">
        <v>1</v>
      </c>
      <c r="E129" s="82" t="s">
        <v>249</v>
      </c>
      <c r="F129" s="123">
        <v>100000</v>
      </c>
      <c r="G129" s="265">
        <f>D129*F129</f>
        <v>100000</v>
      </c>
      <c r="H129" s="105"/>
      <c r="I129" s="6"/>
      <c r="J129" s="6"/>
      <c r="L129" s="7" t="s">
        <v>337</v>
      </c>
      <c r="Q129" s="6"/>
      <c r="R129" s="219"/>
      <c r="S129" s="219"/>
      <c r="T129" s="14"/>
      <c r="U129" s="14"/>
      <c r="V129" s="6"/>
      <c r="W129" s="5"/>
      <c r="X129" s="5"/>
      <c r="Y129" s="5"/>
      <c r="Z129" s="5"/>
      <c r="AA129" s="5"/>
    </row>
    <row r="130" spans="2:27" ht="13.5" customHeight="1" x14ac:dyDescent="0.2">
      <c r="B130" s="227"/>
      <c r="C130" s="88" t="s">
        <v>309</v>
      </c>
      <c r="D130" s="45">
        <v>1</v>
      </c>
      <c r="E130" s="82" t="s">
        <v>249</v>
      </c>
      <c r="F130" s="301">
        <v>36400</v>
      </c>
      <c r="G130" s="265">
        <f>D130*F130</f>
        <v>36400</v>
      </c>
      <c r="H130" s="83"/>
      <c r="I130" s="6"/>
      <c r="J130" s="6"/>
      <c r="L130" s="7" t="s">
        <v>287</v>
      </c>
      <c r="Q130" s="6"/>
      <c r="R130" s="219"/>
      <c r="S130" s="219"/>
      <c r="T130" s="14"/>
      <c r="U130" s="14"/>
      <c r="V130" s="6"/>
      <c r="W130" s="5"/>
      <c r="X130" s="5"/>
      <c r="Y130" s="5"/>
      <c r="Z130" s="5"/>
      <c r="AA130" s="5"/>
    </row>
    <row r="131" spans="2:27" ht="13.5" customHeight="1" thickBot="1" x14ac:dyDescent="0.25">
      <c r="B131" s="229"/>
      <c r="C131" s="230"/>
      <c r="D131" s="230"/>
      <c r="E131" s="231"/>
      <c r="F131" s="232" t="s">
        <v>1</v>
      </c>
      <c r="G131" s="233"/>
      <c r="H131" s="234">
        <f>SUM(G128:G130)</f>
        <v>136400</v>
      </c>
      <c r="I131" s="6"/>
      <c r="J131" s="6"/>
      <c r="L131" s="7"/>
      <c r="Q131" s="6"/>
      <c r="R131" s="219"/>
      <c r="S131" s="219"/>
      <c r="T131" s="14"/>
      <c r="U131" s="14"/>
      <c r="V131" s="6"/>
      <c r="W131" s="5"/>
      <c r="X131" s="5"/>
      <c r="Y131" s="5"/>
      <c r="Z131" s="5"/>
      <c r="AA131" s="5"/>
    </row>
    <row r="132" spans="2:27" ht="13.5" customHeight="1" x14ac:dyDescent="0.2">
      <c r="B132" s="235" t="s">
        <v>206</v>
      </c>
      <c r="C132" s="76"/>
      <c r="D132" s="77"/>
      <c r="E132" s="78"/>
      <c r="F132" s="77"/>
      <c r="G132" s="77"/>
      <c r="H132" s="79"/>
      <c r="I132" s="6"/>
      <c r="J132" s="6"/>
      <c r="L132" s="7"/>
      <c r="Q132" s="6"/>
      <c r="R132" s="219"/>
      <c r="S132" s="219"/>
      <c r="T132" s="14"/>
      <c r="U132" s="14"/>
      <c r="V132" s="6"/>
      <c r="W132" s="5"/>
      <c r="X132" s="5"/>
      <c r="Y132" s="5"/>
      <c r="Z132" s="5"/>
      <c r="AA132" s="5"/>
    </row>
    <row r="133" spans="2:27" ht="13.5" customHeight="1" x14ac:dyDescent="0.2">
      <c r="B133" s="227"/>
      <c r="C133" s="88" t="s">
        <v>289</v>
      </c>
      <c r="D133" s="124">
        <v>1</v>
      </c>
      <c r="E133" s="82" t="s">
        <v>249</v>
      </c>
      <c r="F133" s="265">
        <f>'T3 Monit&amp;Report Details'!$I$18</f>
        <v>153950</v>
      </c>
      <c r="G133" s="265">
        <f>D133*F133</f>
        <v>153950</v>
      </c>
      <c r="H133" s="105"/>
      <c r="I133" s="6"/>
      <c r="J133" s="6"/>
      <c r="L133" s="7" t="s">
        <v>310</v>
      </c>
      <c r="Q133" s="6"/>
      <c r="R133" s="219"/>
      <c r="S133" s="219"/>
      <c r="T133" s="14"/>
      <c r="U133" s="14"/>
      <c r="V133" s="6"/>
      <c r="W133" s="5"/>
      <c r="X133" s="5"/>
      <c r="Y133" s="5"/>
      <c r="Z133" s="5"/>
      <c r="AA133" s="5"/>
    </row>
    <row r="134" spans="2:27" ht="13.5" customHeight="1" x14ac:dyDescent="0.2">
      <c r="B134" s="227"/>
      <c r="C134" s="88"/>
      <c r="D134" s="81"/>
      <c r="E134" s="101"/>
      <c r="F134" s="120"/>
      <c r="G134" s="284"/>
      <c r="H134" s="83"/>
      <c r="I134" s="6"/>
      <c r="J134" s="6"/>
      <c r="L134" s="7"/>
      <c r="Q134" s="6"/>
      <c r="R134" s="219"/>
      <c r="S134" s="219"/>
      <c r="T134" s="14"/>
      <c r="U134" s="14"/>
      <c r="V134" s="6"/>
      <c r="W134" s="5"/>
      <c r="X134" s="5"/>
      <c r="Y134" s="5"/>
      <c r="Z134" s="5"/>
      <c r="AA134" s="5"/>
    </row>
    <row r="135" spans="2:27" ht="13.5" customHeight="1" thickBot="1" x14ac:dyDescent="0.25">
      <c r="B135" s="229"/>
      <c r="C135" s="230"/>
      <c r="D135" s="230"/>
      <c r="E135" s="231"/>
      <c r="F135" s="232" t="s">
        <v>1</v>
      </c>
      <c r="G135" s="271"/>
      <c r="H135" s="234">
        <f>G133</f>
        <v>153950</v>
      </c>
      <c r="I135" s="6"/>
      <c r="J135" s="6"/>
      <c r="L135" s="7"/>
      <c r="Q135" s="6"/>
      <c r="R135" s="219"/>
      <c r="S135" s="219"/>
      <c r="T135" s="14"/>
      <c r="U135" s="14"/>
      <c r="V135" s="6"/>
      <c r="W135" s="5"/>
      <c r="X135" s="5"/>
      <c r="Y135" s="5"/>
      <c r="Z135" s="5"/>
      <c r="AA135" s="5"/>
    </row>
    <row r="136" spans="2:27" ht="13.5" customHeight="1" x14ac:dyDescent="0.2">
      <c r="B136" s="235" t="s">
        <v>207</v>
      </c>
      <c r="C136" s="76"/>
      <c r="D136" s="77"/>
      <c r="E136" s="78"/>
      <c r="F136" s="77"/>
      <c r="G136" s="77"/>
      <c r="H136" s="79"/>
      <c r="I136" s="14"/>
      <c r="J136" s="14"/>
      <c r="L136" s="34"/>
      <c r="N136" s="17"/>
      <c r="O136" s="17"/>
      <c r="P136" s="17"/>
      <c r="Q136" s="41"/>
      <c r="R136" s="14"/>
      <c r="S136" s="6"/>
      <c r="T136" s="6"/>
      <c r="U136" s="14"/>
      <c r="V136" s="6"/>
      <c r="W136" s="6"/>
    </row>
    <row r="137" spans="2:27" ht="13.5" customHeight="1" x14ac:dyDescent="0.2">
      <c r="B137" s="227"/>
      <c r="C137" s="88" t="s">
        <v>119</v>
      </c>
      <c r="D137" s="124"/>
      <c r="E137" s="101"/>
      <c r="F137" s="228"/>
      <c r="G137" s="265">
        <f>0.01*$H$113</f>
        <v>4600.1641333333337</v>
      </c>
      <c r="H137" s="105"/>
      <c r="I137" s="14"/>
      <c r="J137" s="14"/>
      <c r="L137" s="34"/>
      <c r="N137" s="17"/>
      <c r="O137" s="17"/>
      <c r="P137" s="17"/>
      <c r="Q137" s="41"/>
      <c r="R137" s="14"/>
      <c r="S137" s="6"/>
      <c r="T137" s="6"/>
      <c r="U137" s="14"/>
      <c r="V137" s="6"/>
      <c r="W137" s="6"/>
    </row>
    <row r="138" spans="2:27" ht="13.5" customHeight="1" x14ac:dyDescent="0.2">
      <c r="B138" s="227"/>
      <c r="C138" s="88"/>
      <c r="D138" s="81"/>
      <c r="E138" s="101"/>
      <c r="F138" s="120"/>
      <c r="G138" s="284"/>
      <c r="H138" s="83"/>
      <c r="I138" s="14"/>
      <c r="J138" s="14"/>
      <c r="L138" s="34"/>
      <c r="N138" s="17"/>
      <c r="O138" s="17"/>
      <c r="P138" s="17"/>
      <c r="Q138" s="41"/>
      <c r="R138" s="14"/>
      <c r="S138" s="6"/>
      <c r="T138" s="6"/>
      <c r="U138" s="14"/>
      <c r="V138" s="6"/>
      <c r="W138" s="6"/>
    </row>
    <row r="139" spans="2:27" ht="13.5" customHeight="1" thickBot="1" x14ac:dyDescent="0.25">
      <c r="B139" s="229"/>
      <c r="C139" s="230"/>
      <c r="D139" s="230"/>
      <c r="E139" s="231"/>
      <c r="F139" s="232" t="s">
        <v>1</v>
      </c>
      <c r="G139" s="271"/>
      <c r="H139" s="234">
        <f>G137</f>
        <v>4600.1641333333337</v>
      </c>
      <c r="I139" s="14"/>
      <c r="J139" s="14"/>
      <c r="L139" s="34"/>
      <c r="N139" s="17"/>
      <c r="O139" s="17"/>
      <c r="P139" s="17"/>
      <c r="Q139" s="41"/>
      <c r="R139" s="14"/>
      <c r="S139" s="6"/>
      <c r="T139" s="6"/>
      <c r="U139" s="14"/>
      <c r="V139" s="6"/>
      <c r="W139" s="6"/>
    </row>
    <row r="140" spans="2:27" ht="13.5" customHeight="1" x14ac:dyDescent="0.2">
      <c r="B140" s="235" t="s">
        <v>208</v>
      </c>
      <c r="C140" s="76"/>
      <c r="D140" s="77"/>
      <c r="E140" s="78"/>
      <c r="F140" s="77"/>
      <c r="G140" s="285"/>
      <c r="H140" s="79"/>
      <c r="I140" s="14"/>
      <c r="J140" s="14"/>
      <c r="L140" s="34"/>
      <c r="N140" s="17"/>
      <c r="O140" s="17"/>
      <c r="P140" s="17"/>
      <c r="Q140" s="41"/>
      <c r="R140" s="14"/>
      <c r="S140" s="6"/>
      <c r="T140" s="6"/>
      <c r="U140" s="14"/>
      <c r="V140" s="6"/>
      <c r="W140" s="6"/>
    </row>
    <row r="141" spans="2:27" ht="13.5" customHeight="1" x14ac:dyDescent="0.2">
      <c r="B141" s="227"/>
      <c r="C141" s="88" t="s">
        <v>119</v>
      </c>
      <c r="D141" s="124"/>
      <c r="E141" s="101"/>
      <c r="F141" s="228"/>
      <c r="G141" s="265">
        <f>0.01*$H$113</f>
        <v>4600.1641333333337</v>
      </c>
      <c r="H141" s="105"/>
      <c r="I141" s="14"/>
      <c r="J141" s="14"/>
      <c r="L141" s="34"/>
      <c r="N141" s="17"/>
      <c r="O141" s="17"/>
      <c r="P141" s="17"/>
      <c r="Q141" s="41"/>
      <c r="R141" s="14"/>
      <c r="S141" s="6"/>
      <c r="T141" s="6"/>
      <c r="U141" s="14"/>
      <c r="V141" s="6"/>
      <c r="W141" s="6"/>
    </row>
    <row r="142" spans="2:27" ht="13.5" customHeight="1" x14ac:dyDescent="0.2">
      <c r="B142" s="227"/>
      <c r="C142" s="88"/>
      <c r="D142" s="81"/>
      <c r="E142" s="101"/>
      <c r="F142" s="120"/>
      <c r="G142" s="284"/>
      <c r="H142" s="83"/>
      <c r="I142" s="14"/>
      <c r="J142" s="14"/>
      <c r="L142" s="34"/>
      <c r="N142" s="17"/>
      <c r="O142" s="17"/>
      <c r="P142" s="17"/>
      <c r="Q142" s="41"/>
      <c r="R142" s="14"/>
      <c r="S142" s="6"/>
      <c r="T142" s="6"/>
      <c r="U142" s="14"/>
      <c r="V142" s="6"/>
      <c r="W142" s="6"/>
    </row>
    <row r="143" spans="2:27" ht="13.5" customHeight="1" thickBot="1" x14ac:dyDescent="0.25">
      <c r="B143" s="229"/>
      <c r="C143" s="230"/>
      <c r="D143" s="230"/>
      <c r="E143" s="231"/>
      <c r="F143" s="232" t="s">
        <v>1</v>
      </c>
      <c r="G143" s="271"/>
      <c r="H143" s="234">
        <f>G141</f>
        <v>4600.1641333333337</v>
      </c>
      <c r="I143" s="14"/>
      <c r="J143" s="14"/>
      <c r="L143" s="34"/>
      <c r="N143" s="17"/>
      <c r="O143" s="17"/>
      <c r="P143" s="17"/>
      <c r="Q143" s="41"/>
      <c r="R143" s="14"/>
      <c r="S143" s="6"/>
      <c r="T143" s="6"/>
      <c r="U143" s="14"/>
      <c r="V143" s="6"/>
      <c r="W143" s="6"/>
    </row>
    <row r="144" spans="2:27" ht="13.5" customHeight="1" x14ac:dyDescent="0.2">
      <c r="B144" s="235" t="s">
        <v>209</v>
      </c>
      <c r="C144" s="76"/>
      <c r="D144" s="77"/>
      <c r="E144" s="78"/>
      <c r="F144" s="77"/>
      <c r="G144" s="285"/>
      <c r="H144" s="79"/>
      <c r="I144" s="14"/>
      <c r="J144" s="14"/>
      <c r="L144" s="34"/>
      <c r="N144" s="17"/>
      <c r="O144" s="17"/>
      <c r="P144" s="17"/>
      <c r="Q144" s="41"/>
      <c r="R144" s="14"/>
      <c r="S144" s="6"/>
      <c r="T144" s="6"/>
      <c r="U144" s="14"/>
      <c r="V144" s="6"/>
      <c r="W144" s="6"/>
    </row>
    <row r="145" spans="2:23" ht="13.5" customHeight="1" x14ac:dyDescent="0.2">
      <c r="B145" s="227"/>
      <c r="C145" s="88" t="s">
        <v>120</v>
      </c>
      <c r="D145" s="124"/>
      <c r="E145" s="101"/>
      <c r="F145" s="228"/>
      <c r="G145" s="265">
        <f>0.05*$H$113</f>
        <v>23000.820666666667</v>
      </c>
      <c r="H145" s="105"/>
      <c r="I145" s="14"/>
      <c r="J145" s="14"/>
      <c r="L145" s="34" t="s">
        <v>319</v>
      </c>
      <c r="N145" s="17"/>
      <c r="O145" s="17"/>
      <c r="P145" s="17"/>
      <c r="Q145" s="41"/>
      <c r="R145" s="14"/>
      <c r="S145" s="6"/>
      <c r="T145" s="6"/>
      <c r="U145" s="14"/>
      <c r="V145" s="6"/>
      <c r="W145" s="6"/>
    </row>
    <row r="146" spans="2:23" ht="13.5" customHeight="1" x14ac:dyDescent="0.2">
      <c r="B146" s="227"/>
      <c r="C146" s="88"/>
      <c r="D146" s="81"/>
      <c r="E146" s="101"/>
      <c r="F146" s="120"/>
      <c r="G146" s="284"/>
      <c r="H146" s="83"/>
      <c r="I146" s="14"/>
      <c r="J146" s="14"/>
      <c r="L146" s="34"/>
      <c r="N146" s="17"/>
      <c r="O146" s="17"/>
      <c r="P146" s="17"/>
      <c r="Q146" s="41"/>
      <c r="R146" s="14"/>
      <c r="S146" s="6"/>
      <c r="T146" s="6"/>
      <c r="U146" s="14"/>
      <c r="V146" s="6"/>
      <c r="W146" s="6"/>
    </row>
    <row r="147" spans="2:23" ht="13.5" customHeight="1" thickBot="1" x14ac:dyDescent="0.25">
      <c r="B147" s="229"/>
      <c r="C147" s="230"/>
      <c r="D147" s="230"/>
      <c r="E147" s="231"/>
      <c r="F147" s="232" t="s">
        <v>1</v>
      </c>
      <c r="G147" s="271"/>
      <c r="H147" s="234">
        <f>G145</f>
        <v>23000.820666666667</v>
      </c>
      <c r="I147" s="14"/>
      <c r="J147" s="14"/>
      <c r="L147" s="34"/>
      <c r="N147" s="17"/>
      <c r="O147" s="17"/>
      <c r="P147" s="17"/>
      <c r="Q147" s="41"/>
      <c r="R147" s="14"/>
      <c r="S147" s="6"/>
      <c r="T147" s="6"/>
      <c r="U147" s="14"/>
      <c r="V147" s="6"/>
      <c r="W147" s="6"/>
    </row>
    <row r="148" spans="2:23" ht="13.5" customHeight="1" x14ac:dyDescent="0.2">
      <c r="B148" s="235" t="s">
        <v>210</v>
      </c>
      <c r="C148" s="76"/>
      <c r="D148" s="77"/>
      <c r="E148" s="78"/>
      <c r="F148" s="77"/>
      <c r="G148" s="285"/>
      <c r="H148" s="79"/>
      <c r="I148" s="14"/>
      <c r="J148" s="14"/>
      <c r="L148" s="34"/>
      <c r="N148" s="17"/>
      <c r="O148" s="17"/>
      <c r="P148" s="17"/>
      <c r="Q148" s="41"/>
      <c r="R148" s="14"/>
      <c r="S148" s="6"/>
      <c r="T148" s="6"/>
      <c r="U148" s="14"/>
      <c r="V148" s="6"/>
      <c r="W148" s="6"/>
    </row>
    <row r="149" spans="2:23" ht="13.5" customHeight="1" x14ac:dyDescent="0.2">
      <c r="B149" s="227"/>
      <c r="C149" s="88" t="s">
        <v>120</v>
      </c>
      <c r="D149" s="124"/>
      <c r="E149" s="101"/>
      <c r="F149" s="228"/>
      <c r="G149" s="265">
        <f>0.05*$H$113</f>
        <v>23000.820666666667</v>
      </c>
      <c r="H149" s="105"/>
      <c r="I149" s="14"/>
      <c r="J149" s="14"/>
      <c r="L149" s="34" t="s">
        <v>318</v>
      </c>
      <c r="N149" s="17"/>
      <c r="O149" s="17"/>
      <c r="P149" s="17"/>
      <c r="Q149" s="41"/>
      <c r="R149" s="14"/>
      <c r="S149" s="6"/>
      <c r="T149" s="6"/>
      <c r="U149" s="14"/>
      <c r="V149" s="6"/>
      <c r="W149" s="6"/>
    </row>
    <row r="150" spans="2:23" ht="13.5" customHeight="1" x14ac:dyDescent="0.2">
      <c r="B150" s="227"/>
      <c r="C150" s="88"/>
      <c r="D150" s="81"/>
      <c r="E150" s="101"/>
      <c r="F150" s="120"/>
      <c r="G150" s="284"/>
      <c r="H150" s="83"/>
      <c r="I150" s="14"/>
      <c r="J150" s="14"/>
      <c r="L150" s="34"/>
      <c r="N150" s="17"/>
      <c r="O150" s="17"/>
      <c r="P150" s="17"/>
      <c r="Q150" s="41"/>
      <c r="R150" s="14"/>
      <c r="S150" s="6"/>
      <c r="T150" s="6"/>
      <c r="U150" s="14"/>
      <c r="V150" s="6"/>
      <c r="W150" s="6"/>
    </row>
    <row r="151" spans="2:23" ht="13.5" customHeight="1" thickBot="1" x14ac:dyDescent="0.25">
      <c r="B151" s="229"/>
      <c r="C151" s="230"/>
      <c r="D151" s="230"/>
      <c r="E151" s="282"/>
      <c r="F151" s="283" t="s">
        <v>1</v>
      </c>
      <c r="G151" s="280"/>
      <c r="H151" s="281">
        <f>G149</f>
        <v>23000.820666666667</v>
      </c>
      <c r="I151" s="14"/>
      <c r="J151" s="14"/>
      <c r="L151" s="34"/>
      <c r="N151" s="17"/>
      <c r="O151" s="17"/>
      <c r="P151" s="17"/>
      <c r="Q151" s="41"/>
      <c r="R151" s="14"/>
      <c r="S151" s="6"/>
      <c r="T151" s="6"/>
      <c r="U151" s="14"/>
      <c r="V151" s="6"/>
      <c r="W151" s="6"/>
    </row>
    <row r="152" spans="2:23" ht="13.5" customHeight="1" thickBot="1" x14ac:dyDescent="0.3">
      <c r="B152" s="252"/>
      <c r="C152" s="244"/>
      <c r="D152" s="244"/>
      <c r="E152" s="277" t="s">
        <v>110</v>
      </c>
      <c r="F152" s="278"/>
      <c r="G152" s="278"/>
      <c r="H152" s="279">
        <f>SUM(H120:H151)</f>
        <v>988386.96959999995</v>
      </c>
      <c r="I152" s="14"/>
      <c r="J152" s="14"/>
      <c r="L152" s="34"/>
      <c r="N152" s="17"/>
      <c r="O152" s="17"/>
      <c r="P152" s="17"/>
      <c r="Q152" s="41"/>
      <c r="R152" s="14"/>
      <c r="S152" s="6"/>
      <c r="T152" s="6"/>
      <c r="U152" s="14"/>
      <c r="V152" s="6"/>
      <c r="W152" s="6"/>
    </row>
    <row r="153" spans="2:23" ht="13.5" customHeight="1" thickBot="1" x14ac:dyDescent="0.25">
      <c r="B153" s="253"/>
      <c r="C153" s="47"/>
      <c r="D153" s="47"/>
      <c r="E153" s="103"/>
      <c r="F153" s="254"/>
      <c r="G153" s="254"/>
      <c r="H153" s="109"/>
      <c r="I153" s="14"/>
      <c r="J153" s="14"/>
      <c r="L153" s="34"/>
      <c r="N153" s="17"/>
      <c r="O153" s="17"/>
      <c r="P153" s="17"/>
      <c r="Q153" s="41"/>
      <c r="R153" s="14"/>
      <c r="S153" s="6"/>
      <c r="T153" s="6"/>
      <c r="U153" s="14"/>
      <c r="V153" s="6"/>
      <c r="W153" s="6"/>
    </row>
    <row r="154" spans="2:23" ht="13.5" customHeight="1" thickBot="1" x14ac:dyDescent="0.3">
      <c r="B154" s="255" t="s">
        <v>111</v>
      </c>
      <c r="C154" s="256"/>
      <c r="D154" s="256"/>
      <c r="E154" s="257"/>
      <c r="F154" s="258"/>
      <c r="G154" s="258"/>
      <c r="H154" s="259"/>
      <c r="I154" s="14"/>
      <c r="J154" s="14"/>
      <c r="L154" s="34"/>
      <c r="N154" s="17"/>
      <c r="O154" s="17"/>
      <c r="P154" s="17"/>
      <c r="Q154" s="41"/>
      <c r="R154" s="14"/>
      <c r="S154" s="6"/>
      <c r="T154" s="6"/>
      <c r="U154" s="14"/>
      <c r="V154" s="6"/>
      <c r="W154" s="6"/>
    </row>
    <row r="155" spans="2:23" ht="13.5" customHeight="1" x14ac:dyDescent="0.2">
      <c r="B155" s="235" t="s">
        <v>112</v>
      </c>
      <c r="C155" s="76"/>
      <c r="D155" s="77"/>
      <c r="E155" s="78"/>
      <c r="F155" s="77"/>
      <c r="G155" s="77"/>
      <c r="H155" s="79"/>
      <c r="I155" s="14"/>
      <c r="J155" s="14"/>
      <c r="L155" s="34"/>
      <c r="N155" s="17"/>
      <c r="O155" s="17"/>
      <c r="P155" s="17"/>
      <c r="Q155" s="41"/>
      <c r="R155" s="14"/>
      <c r="S155" s="6"/>
      <c r="T155" s="6"/>
      <c r="U155" s="14"/>
      <c r="V155" s="6"/>
      <c r="W155" s="6"/>
    </row>
    <row r="156" spans="2:23" ht="13.5" customHeight="1" x14ac:dyDescent="0.2">
      <c r="B156" s="227"/>
      <c r="C156" s="88" t="s">
        <v>203</v>
      </c>
      <c r="D156" s="124"/>
      <c r="E156" s="101"/>
      <c r="F156" s="228"/>
      <c r="G156" s="265">
        <f>0.2*$H$113</f>
        <v>92003.282666666666</v>
      </c>
      <c r="H156" s="105"/>
      <c r="I156" s="14"/>
      <c r="J156" s="14"/>
      <c r="L156" s="34"/>
      <c r="N156" s="17"/>
      <c r="O156" s="17"/>
      <c r="P156" s="17"/>
      <c r="Q156" s="41"/>
      <c r="R156" s="14"/>
      <c r="S156" s="6"/>
      <c r="T156" s="6"/>
      <c r="U156" s="14"/>
      <c r="V156" s="6"/>
      <c r="W156" s="6"/>
    </row>
    <row r="157" spans="2:23" ht="13.5" customHeight="1" x14ac:dyDescent="0.2">
      <c r="B157" s="227"/>
      <c r="C157" s="88"/>
      <c r="D157" s="81"/>
      <c r="E157" s="101"/>
      <c r="F157" s="120"/>
      <c r="G157" s="284"/>
      <c r="H157" s="83"/>
      <c r="I157" s="14"/>
      <c r="J157" s="14"/>
      <c r="L157" s="34"/>
      <c r="N157" s="17"/>
      <c r="O157" s="17"/>
      <c r="P157" s="17"/>
      <c r="Q157" s="41"/>
      <c r="R157" s="14"/>
      <c r="S157" s="6"/>
      <c r="T157" s="6"/>
      <c r="U157" s="14"/>
      <c r="V157" s="6"/>
      <c r="W157" s="6"/>
    </row>
    <row r="158" spans="2:23" ht="13.5" customHeight="1" thickBot="1" x14ac:dyDescent="0.25">
      <c r="B158" s="229"/>
      <c r="C158" s="230"/>
      <c r="D158" s="230"/>
      <c r="E158" s="231"/>
      <c r="F158" s="232" t="s">
        <v>1</v>
      </c>
      <c r="G158" s="233"/>
      <c r="H158" s="234">
        <f>G156</f>
        <v>92003.282666666666</v>
      </c>
      <c r="I158" s="14"/>
      <c r="J158" s="14"/>
      <c r="L158" s="34"/>
      <c r="N158" s="17"/>
      <c r="O158" s="17"/>
      <c r="P158" s="17"/>
      <c r="Q158" s="41"/>
      <c r="R158" s="14"/>
      <c r="S158" s="6"/>
      <c r="T158" s="6"/>
      <c r="U158" s="14"/>
      <c r="V158" s="6"/>
      <c r="W158" s="6"/>
    </row>
    <row r="159" spans="2:23" ht="13.5" customHeight="1" x14ac:dyDescent="0.2">
      <c r="B159" s="235" t="s">
        <v>113</v>
      </c>
      <c r="C159" s="76"/>
      <c r="D159" s="77"/>
      <c r="E159" s="78"/>
      <c r="F159" s="77"/>
      <c r="G159" s="77"/>
      <c r="H159" s="79"/>
      <c r="I159" s="14"/>
      <c r="J159" s="14"/>
      <c r="L159" s="34"/>
      <c r="N159" s="17"/>
      <c r="O159" s="17"/>
      <c r="P159" s="17"/>
      <c r="Q159" s="41"/>
      <c r="R159" s="14"/>
      <c r="S159" s="6"/>
      <c r="T159" s="6"/>
      <c r="U159" s="14"/>
      <c r="V159" s="6"/>
      <c r="W159" s="6"/>
    </row>
    <row r="160" spans="2:23" ht="13.5" customHeight="1" x14ac:dyDescent="0.2">
      <c r="B160" s="227"/>
      <c r="C160" s="88" t="s">
        <v>178</v>
      </c>
      <c r="D160" s="45">
        <v>3</v>
      </c>
      <c r="E160" s="82" t="s">
        <v>30</v>
      </c>
      <c r="F160" s="306">
        <v>80000</v>
      </c>
      <c r="G160" s="265">
        <f t="shared" ref="G160:G161" si="1">D160*F160</f>
        <v>240000</v>
      </c>
      <c r="H160" s="105"/>
      <c r="I160" s="14"/>
      <c r="J160" s="14"/>
      <c r="L160" s="7" t="s">
        <v>301</v>
      </c>
      <c r="N160" s="17"/>
      <c r="O160" s="17"/>
      <c r="P160" s="17"/>
      <c r="Q160" s="41"/>
      <c r="R160" s="14"/>
      <c r="S160" s="6"/>
      <c r="T160" s="6"/>
      <c r="U160" s="14"/>
      <c r="V160" s="6"/>
      <c r="W160" s="6"/>
    </row>
    <row r="161" spans="2:27" ht="13.5" customHeight="1" x14ac:dyDescent="0.2">
      <c r="B161" s="227"/>
      <c r="C161" s="88" t="s">
        <v>282</v>
      </c>
      <c r="D161" s="45">
        <v>1</v>
      </c>
      <c r="E161" s="82" t="s">
        <v>249</v>
      </c>
      <c r="F161" s="306">
        <v>200000</v>
      </c>
      <c r="G161" s="265">
        <f t="shared" si="1"/>
        <v>200000</v>
      </c>
      <c r="H161" s="83"/>
      <c r="I161" s="14"/>
      <c r="J161" s="14"/>
      <c r="L161" s="34" t="s">
        <v>283</v>
      </c>
      <c r="N161" s="17"/>
      <c r="O161" s="17"/>
      <c r="P161" s="17"/>
      <c r="Q161" s="41"/>
      <c r="R161" s="14"/>
      <c r="S161" s="6"/>
      <c r="T161" s="6"/>
      <c r="U161" s="14"/>
      <c r="V161" s="6"/>
      <c r="W161" s="6"/>
    </row>
    <row r="162" spans="2:27" ht="13.5" customHeight="1" thickBot="1" x14ac:dyDescent="0.25">
      <c r="B162" s="229"/>
      <c r="C162" s="230"/>
      <c r="D162" s="230"/>
      <c r="E162" s="231"/>
      <c r="F162" s="232" t="s">
        <v>1</v>
      </c>
      <c r="G162" s="233"/>
      <c r="H162" s="234">
        <f>SUM(G160:G161)</f>
        <v>440000</v>
      </c>
      <c r="I162" s="14"/>
      <c r="J162" s="14"/>
      <c r="L162" s="34"/>
      <c r="N162" s="17"/>
      <c r="O162" s="17"/>
      <c r="P162" s="17"/>
      <c r="Q162" s="41"/>
      <c r="R162" s="14"/>
      <c r="S162" s="6"/>
      <c r="T162" s="6"/>
      <c r="U162" s="14"/>
      <c r="V162" s="6"/>
      <c r="W162" s="6"/>
    </row>
    <row r="163" spans="2:27" ht="13.5" customHeight="1" thickBot="1" x14ac:dyDescent="0.3">
      <c r="B163" s="236"/>
      <c r="C163" s="237"/>
      <c r="D163" s="237"/>
      <c r="E163" s="277" t="s">
        <v>114</v>
      </c>
      <c r="F163" s="277"/>
      <c r="G163" s="278"/>
      <c r="H163" s="279">
        <f>SUM(H156:H162)</f>
        <v>532003.28266666667</v>
      </c>
      <c r="I163" s="14"/>
      <c r="J163" s="14"/>
      <c r="L163" s="34"/>
      <c r="N163" s="17"/>
      <c r="O163" s="17"/>
      <c r="P163" s="17"/>
      <c r="Q163" s="41"/>
      <c r="R163" s="14"/>
      <c r="S163" s="6"/>
      <c r="T163" s="6"/>
      <c r="U163" s="14"/>
      <c r="V163" s="6"/>
      <c r="W163" s="6"/>
    </row>
    <row r="164" spans="2:27" ht="12.75" customHeight="1" x14ac:dyDescent="0.2">
      <c r="B164" s="194" t="s">
        <v>116</v>
      </c>
      <c r="C164" s="110"/>
      <c r="D164" s="110"/>
      <c r="E164" s="111"/>
      <c r="F164" s="110"/>
      <c r="G164" s="110"/>
      <c r="H164" s="195"/>
      <c r="I164" s="10"/>
      <c r="O164" s="31"/>
      <c r="P164" s="31"/>
      <c r="T164" s="5"/>
      <c r="U164" s="5"/>
      <c r="V164" s="5"/>
    </row>
    <row r="165" spans="2:27" ht="13.5" customHeight="1" x14ac:dyDescent="0.2">
      <c r="B165" s="393"/>
      <c r="C165" s="394"/>
      <c r="D165" s="394"/>
      <c r="E165" s="394"/>
      <c r="F165" s="394"/>
      <c r="G165" s="394"/>
      <c r="H165" s="395"/>
      <c r="I165" s="11"/>
      <c r="O165" s="31"/>
      <c r="P165" s="31"/>
      <c r="R165" s="5"/>
      <c r="S165" s="5"/>
      <c r="W165" s="5"/>
      <c r="X165" s="5"/>
      <c r="Y165" s="5"/>
      <c r="Z165" s="5"/>
      <c r="AA165" s="5"/>
    </row>
    <row r="166" spans="2:27" ht="13.5" customHeight="1" x14ac:dyDescent="0.2">
      <c r="B166" s="393"/>
      <c r="C166" s="394"/>
      <c r="D166" s="394"/>
      <c r="E166" s="394"/>
      <c r="F166" s="394"/>
      <c r="G166" s="394"/>
      <c r="H166" s="395"/>
      <c r="I166" s="11"/>
      <c r="O166" s="6"/>
      <c r="P166" s="6"/>
      <c r="Q166" s="31"/>
      <c r="T166" s="5"/>
      <c r="U166" s="5"/>
      <c r="V166" s="5"/>
      <c r="W166" s="5"/>
      <c r="X166" s="5"/>
      <c r="Y166" s="5"/>
      <c r="Z166" s="5"/>
      <c r="AA166" s="5"/>
    </row>
    <row r="167" spans="2:27" ht="13.5" customHeight="1" thickBot="1" x14ac:dyDescent="0.25">
      <c r="B167" s="396"/>
      <c r="C167" s="397"/>
      <c r="D167" s="397"/>
      <c r="E167" s="397"/>
      <c r="F167" s="397"/>
      <c r="G167" s="397"/>
      <c r="H167" s="398"/>
      <c r="Q167" s="31"/>
      <c r="R167" s="5"/>
      <c r="S167" s="5"/>
      <c r="T167" s="5"/>
      <c r="U167" s="5"/>
      <c r="V167" s="5"/>
      <c r="W167" s="5"/>
      <c r="X167" s="5"/>
      <c r="Y167" s="5"/>
      <c r="Z167" s="5"/>
      <c r="AA167" s="5"/>
    </row>
    <row r="168" spans="2:27" x14ac:dyDescent="0.2">
      <c r="B168" s="47"/>
      <c r="C168" s="112"/>
      <c r="D168" s="47"/>
      <c r="E168" s="146"/>
      <c r="F168" s="146"/>
      <c r="G168" s="146"/>
      <c r="H168" s="47"/>
      <c r="O168" s="17"/>
      <c r="P168" s="17"/>
      <c r="Q168" s="31"/>
      <c r="R168" s="5"/>
      <c r="S168" s="5"/>
      <c r="T168" s="5"/>
      <c r="U168" s="5"/>
      <c r="V168" s="5"/>
      <c r="W168" s="5"/>
      <c r="X168" s="5"/>
      <c r="Y168" s="5"/>
      <c r="Z168" s="5"/>
      <c r="AA168" s="5"/>
    </row>
    <row r="169" spans="2:27" x14ac:dyDescent="0.2">
      <c r="B169" s="118"/>
      <c r="C169" s="47"/>
      <c r="D169" s="47"/>
      <c r="E169" s="117"/>
      <c r="F169" s="109"/>
      <c r="G169" s="109"/>
      <c r="H169" s="47"/>
      <c r="O169" s="31"/>
      <c r="P169" s="31"/>
      <c r="R169" s="5"/>
      <c r="S169" s="5"/>
      <c r="T169" s="5"/>
      <c r="U169" s="5"/>
      <c r="V169" s="5"/>
      <c r="W169" s="5"/>
      <c r="X169" s="5"/>
      <c r="Y169" s="5"/>
      <c r="Z169" s="5"/>
      <c r="AA169" s="5"/>
    </row>
    <row r="170" spans="2:27" ht="42" customHeight="1" thickBot="1" x14ac:dyDescent="0.25">
      <c r="B170" s="118"/>
      <c r="C170" s="47"/>
      <c r="D170" s="286"/>
      <c r="E170" s="386" t="s">
        <v>295</v>
      </c>
      <c r="F170" s="387"/>
      <c r="G170" s="333">
        <v>136967</v>
      </c>
      <c r="H170" s="332" t="s">
        <v>296</v>
      </c>
      <c r="I170" s="6"/>
      <c r="J170" s="6"/>
      <c r="L170" s="6" t="s">
        <v>297</v>
      </c>
      <c r="M170" s="31"/>
      <c r="Q170" s="17"/>
      <c r="R170" s="5"/>
      <c r="S170" s="5"/>
      <c r="T170" s="5"/>
      <c r="U170" s="5"/>
      <c r="V170" s="5"/>
      <c r="W170" s="5"/>
      <c r="X170" s="5"/>
      <c r="Y170" s="5"/>
      <c r="Z170" s="5"/>
      <c r="AA170" s="5"/>
    </row>
    <row r="171" spans="2:27" ht="15.75" thickTop="1" x14ac:dyDescent="0.2">
      <c r="B171" s="23"/>
      <c r="D171" s="293" t="s">
        <v>44</v>
      </c>
      <c r="E171" s="303">
        <v>2025</v>
      </c>
      <c r="F171" s="313">
        <v>2026</v>
      </c>
      <c r="G171" s="303">
        <v>2027</v>
      </c>
      <c r="H171" s="303">
        <v>2028</v>
      </c>
      <c r="I171" s="6"/>
      <c r="J171" s="6"/>
      <c r="M171" s="31"/>
    </row>
    <row r="172" spans="2:27" x14ac:dyDescent="0.2">
      <c r="D172" s="180" t="s">
        <v>47</v>
      </c>
      <c r="E172" s="323">
        <f>ROUNDUP(E173*$G$170*(1+$F$186)^1,-2)</f>
        <v>427400</v>
      </c>
      <c r="F172" s="323">
        <f>ROUNDUP(F173*$G$170*(1+$F$186)^2,-2)</f>
        <v>444500</v>
      </c>
      <c r="G172" s="323">
        <f>ROUNDUP(G173*$G$170*(1+$F$186)^3,-2)</f>
        <v>462300</v>
      </c>
      <c r="H172" s="323">
        <f>ROUNDUP(H173*$G$170*(1+$F$186)^4,-2)</f>
        <v>480700</v>
      </c>
      <c r="I172" s="6"/>
      <c r="J172" s="6"/>
      <c r="M172" s="31"/>
      <c r="Q172" s="6"/>
    </row>
    <row r="173" spans="2:27" x14ac:dyDescent="0.2">
      <c r="D173" s="180" t="s">
        <v>294</v>
      </c>
      <c r="E173" s="8">
        <v>3</v>
      </c>
      <c r="F173" s="322">
        <v>3</v>
      </c>
      <c r="G173" s="8">
        <v>3</v>
      </c>
      <c r="H173" s="8">
        <v>3</v>
      </c>
      <c r="I173" s="2"/>
      <c r="J173" s="15"/>
      <c r="M173" s="31"/>
      <c r="Q173" s="6"/>
    </row>
    <row r="174" spans="2:27" x14ac:dyDescent="0.2">
      <c r="D174" s="293" t="s">
        <v>44</v>
      </c>
      <c r="E174" s="303">
        <v>2029</v>
      </c>
      <c r="F174" s="313">
        <v>2030</v>
      </c>
      <c r="G174" s="303"/>
      <c r="H174" s="314"/>
      <c r="I174" s="2"/>
      <c r="J174" s="15"/>
      <c r="M174" s="31"/>
      <c r="Q174" s="6"/>
    </row>
    <row r="175" spans="2:27" x14ac:dyDescent="0.2">
      <c r="D175" s="180" t="s">
        <v>47</v>
      </c>
      <c r="E175" s="323">
        <f>ROUNDUP(E176*$G$170*(1+$F$186)^5,-2)</f>
        <v>500000</v>
      </c>
      <c r="F175" s="323">
        <f>ROUNDUP(F176*$G$170*(1+$F$186)^6,-2)</f>
        <v>520000</v>
      </c>
      <c r="G175" s="323"/>
      <c r="H175" s="8"/>
      <c r="I175" s="2"/>
      <c r="J175" s="15"/>
      <c r="M175" s="31"/>
      <c r="Q175" s="6"/>
    </row>
    <row r="176" spans="2:27" x14ac:dyDescent="0.2">
      <c r="D176" s="180" t="s">
        <v>294</v>
      </c>
      <c r="E176" s="8">
        <v>3</v>
      </c>
      <c r="F176" s="322">
        <v>3</v>
      </c>
      <c r="G176" s="8"/>
      <c r="H176" s="8"/>
      <c r="I176" s="2"/>
      <c r="J176" s="15"/>
      <c r="M176" s="31"/>
      <c r="Q176" s="6"/>
    </row>
    <row r="177" spans="4:24" x14ac:dyDescent="0.2">
      <c r="D177" s="41"/>
      <c r="E177" s="24"/>
      <c r="F177" s="30"/>
      <c r="G177" s="321"/>
      <c r="H177" s="14"/>
      <c r="I177" s="2"/>
      <c r="J177" s="15"/>
      <c r="M177" s="31"/>
      <c r="Q177" s="6"/>
    </row>
    <row r="178" spans="4:24" ht="26.25" thickBot="1" x14ac:dyDescent="0.25">
      <c r="D178" s="286"/>
      <c r="E178" s="386" t="s">
        <v>281</v>
      </c>
      <c r="F178" s="387"/>
      <c r="G178" s="333">
        <f>ROUNDUP('T4 Eqpmnt &amp; Labour Rates'!C30,-2)</f>
        <v>19600</v>
      </c>
      <c r="H178" s="332" t="s">
        <v>258</v>
      </c>
      <c r="I178" s="20"/>
      <c r="J178" s="28"/>
      <c r="M178" s="6"/>
      <c r="Q178" s="6"/>
    </row>
    <row r="179" spans="4:24" ht="15.75" thickTop="1" x14ac:dyDescent="0.2">
      <c r="D179" s="293" t="s">
        <v>44</v>
      </c>
      <c r="E179" s="303">
        <v>2025</v>
      </c>
      <c r="F179" s="313">
        <v>2026</v>
      </c>
      <c r="G179" s="303">
        <v>2027</v>
      </c>
      <c r="H179" s="303">
        <v>2028</v>
      </c>
      <c r="I179" s="9"/>
      <c r="J179" s="15"/>
      <c r="M179" s="31"/>
      <c r="Q179" s="6"/>
      <c r="X179" s="6"/>
    </row>
    <row r="180" spans="4:24" x14ac:dyDescent="0.2">
      <c r="D180" s="180" t="s">
        <v>47</v>
      </c>
      <c r="E180" s="323">
        <f>ROUNDUP(E181*$G$178*(1+$F$186)^1,-2)</f>
        <v>10200</v>
      </c>
      <c r="F180" s="323">
        <f>ROUNDUP(F181*$G$178*(1+$F$186)^2,-2)</f>
        <v>10600</v>
      </c>
      <c r="G180" s="323">
        <f>ROUNDUP(G181*$G$178*(1+$F$186)^3,-2)</f>
        <v>11100</v>
      </c>
      <c r="H180" s="323">
        <f>ROUNDUP(H181*$G$178*(1+$F$186)^4,-2)</f>
        <v>11500</v>
      </c>
      <c r="I180" s="26"/>
      <c r="J180" s="29"/>
      <c r="M180" s="6"/>
      <c r="Q180" s="6"/>
    </row>
    <row r="181" spans="4:24" x14ac:dyDescent="0.2">
      <c r="D181" s="180" t="s">
        <v>247</v>
      </c>
      <c r="E181" s="8">
        <v>0.5</v>
      </c>
      <c r="F181" s="322">
        <v>0.5</v>
      </c>
      <c r="G181" s="8">
        <v>0.5</v>
      </c>
      <c r="H181" s="8">
        <v>0.5</v>
      </c>
      <c r="I181" s="2"/>
      <c r="J181" s="15"/>
      <c r="M181" s="179"/>
      <c r="Q181" s="6"/>
    </row>
    <row r="182" spans="4:24" x14ac:dyDescent="0.2">
      <c r="D182" s="293" t="s">
        <v>44</v>
      </c>
      <c r="E182" s="303">
        <v>2029</v>
      </c>
      <c r="F182" s="313">
        <v>2030</v>
      </c>
      <c r="G182" s="303"/>
      <c r="H182" s="303"/>
      <c r="I182" s="2"/>
      <c r="J182" s="15"/>
      <c r="M182" s="179"/>
      <c r="Q182" s="6"/>
    </row>
    <row r="183" spans="4:24" x14ac:dyDescent="0.2">
      <c r="D183" s="180" t="s">
        <v>47</v>
      </c>
      <c r="E183" s="323">
        <f>ROUNDUP(E184*$G$178*(1+$F$186)^5,-2)</f>
        <v>12000</v>
      </c>
      <c r="F183" s="323"/>
      <c r="G183" s="323"/>
      <c r="H183" s="323"/>
      <c r="I183" s="2"/>
      <c r="J183" s="15"/>
      <c r="M183" s="179"/>
      <c r="Q183" s="6"/>
    </row>
    <row r="184" spans="4:24" x14ac:dyDescent="0.2">
      <c r="D184" s="180" t="s">
        <v>247</v>
      </c>
      <c r="E184" s="8">
        <v>0.5</v>
      </c>
      <c r="F184" s="322">
        <v>0</v>
      </c>
      <c r="G184" s="8"/>
      <c r="H184" s="8"/>
      <c r="I184" s="2"/>
      <c r="J184" s="15"/>
      <c r="M184" s="179"/>
      <c r="Q184" s="6"/>
    </row>
    <row r="185" spans="4:24" x14ac:dyDescent="0.2">
      <c r="Q185" s="6"/>
    </row>
    <row r="186" spans="4:24" x14ac:dyDescent="0.2">
      <c r="D186" s="2" t="s">
        <v>190</v>
      </c>
      <c r="E186" s="373"/>
      <c r="F186" s="374">
        <v>0.04</v>
      </c>
      <c r="G186" s="26"/>
      <c r="Q186" s="6"/>
    </row>
    <row r="187" spans="4:24" x14ac:dyDescent="0.2">
      <c r="Q187" s="6"/>
    </row>
    <row r="188" spans="4:24" ht="26.25" thickBot="1" x14ac:dyDescent="0.25">
      <c r="D188" s="286"/>
      <c r="E188" s="386" t="s">
        <v>244</v>
      </c>
      <c r="F188" s="387"/>
      <c r="G188" s="333">
        <f>5880*2</f>
        <v>11760</v>
      </c>
      <c r="H188" s="332" t="s">
        <v>257</v>
      </c>
      <c r="L188" s="6" t="s">
        <v>316</v>
      </c>
      <c r="V188" s="6" t="s">
        <v>14</v>
      </c>
    </row>
    <row r="189" spans="4:24" ht="15.75" thickTop="1" x14ac:dyDescent="0.2">
      <c r="D189" s="293" t="s">
        <v>44</v>
      </c>
      <c r="E189" s="303">
        <v>2025</v>
      </c>
      <c r="F189" s="313">
        <v>2026</v>
      </c>
      <c r="G189" s="303">
        <v>2027</v>
      </c>
      <c r="H189" s="303">
        <v>2028</v>
      </c>
      <c r="Q189" s="6"/>
    </row>
    <row r="190" spans="4:24" x14ac:dyDescent="0.2">
      <c r="D190" s="180" t="s">
        <v>47</v>
      </c>
      <c r="E190" s="323">
        <f>ROUNDUP($G$188*(1+$F$186)^1,-2)</f>
        <v>12300</v>
      </c>
      <c r="F190" s="323">
        <f>ROUNDUP($G$188*(1+$F$186)^2,-2)</f>
        <v>12800</v>
      </c>
      <c r="G190" s="323">
        <f>ROUNDUP($G$188*(1+$F$186)^3,-2)</f>
        <v>13300</v>
      </c>
      <c r="H190" s="323">
        <f>ROUNDUP($G$188*(1+$F$186)^4,-2)</f>
        <v>13800</v>
      </c>
      <c r="Q190" s="6"/>
    </row>
    <row r="191" spans="4:24" x14ac:dyDescent="0.2">
      <c r="D191" s="180" t="s">
        <v>44</v>
      </c>
      <c r="E191" s="335">
        <v>2029</v>
      </c>
      <c r="F191" s="344">
        <v>2030</v>
      </c>
      <c r="G191" s="8"/>
      <c r="H191" s="8"/>
      <c r="Q191" s="6"/>
    </row>
    <row r="192" spans="4:24" x14ac:dyDescent="0.2">
      <c r="D192" s="341" t="s">
        <v>47</v>
      </c>
      <c r="E192" s="323">
        <f>ROUNDUP($G$188*(1+$F$186)^5,-2)</f>
        <v>14400</v>
      </c>
      <c r="F192" s="323">
        <f>ROUNDUP($G$188*(1+$F$186)^6,-2)</f>
        <v>14900</v>
      </c>
      <c r="G192" s="342"/>
      <c r="H192" s="343"/>
      <c r="Q192" s="6"/>
    </row>
    <row r="193" spans="4:18" x14ac:dyDescent="0.2">
      <c r="D193" s="1"/>
      <c r="Q193" s="6"/>
    </row>
    <row r="194" spans="4:18" ht="44.25" customHeight="1" thickBot="1" x14ac:dyDescent="0.25">
      <c r="D194" s="286"/>
      <c r="E194" s="386" t="s">
        <v>245</v>
      </c>
      <c r="F194" s="387"/>
      <c r="G194" s="333">
        <v>170</v>
      </c>
      <c r="H194" s="332" t="s">
        <v>259</v>
      </c>
      <c r="K194" s="6" t="s">
        <v>260</v>
      </c>
      <c r="Q194" s="6"/>
    </row>
    <row r="195" spans="4:18" ht="15.75" thickTop="1" x14ac:dyDescent="0.2">
      <c r="D195" s="293" t="s">
        <v>44</v>
      </c>
      <c r="E195" s="303">
        <v>2025</v>
      </c>
      <c r="F195" s="313">
        <v>2026</v>
      </c>
      <c r="G195" s="303">
        <v>2027</v>
      </c>
      <c r="H195" s="303">
        <v>2028</v>
      </c>
      <c r="R195" s="9"/>
    </row>
    <row r="196" spans="4:18" ht="38.25" x14ac:dyDescent="0.2">
      <c r="D196" s="345" t="s">
        <v>246</v>
      </c>
      <c r="E196" s="369">
        <f>E203*90</f>
        <v>270</v>
      </c>
      <c r="F196" s="370">
        <f>E204*90</f>
        <v>270</v>
      </c>
      <c r="G196" s="369">
        <f>E205*90</f>
        <v>270</v>
      </c>
      <c r="H196" s="369">
        <f>E206*90</f>
        <v>180</v>
      </c>
      <c r="R196" s="9"/>
    </row>
    <row r="197" spans="4:18" x14ac:dyDescent="0.2">
      <c r="D197" s="180" t="s">
        <v>47</v>
      </c>
      <c r="E197" s="323">
        <f>ROUNDUP(E196*$G$194*(1+$F$186)^1,-2)</f>
        <v>47800</v>
      </c>
      <c r="F197" s="323">
        <f>ROUNDUP(F196*$G$194*(1+$F$186)^2,-2)</f>
        <v>49700</v>
      </c>
      <c r="G197" s="323">
        <f>ROUNDUP(G196*$G$194*(1+$F$186)^3,-2)</f>
        <v>51700</v>
      </c>
      <c r="H197" s="323">
        <f>ROUNDUP(H196*$G$194*(1+$F$186)^4,-2)</f>
        <v>35800</v>
      </c>
      <c r="R197" s="6"/>
    </row>
    <row r="198" spans="4:18" x14ac:dyDescent="0.2">
      <c r="D198" s="180" t="s">
        <v>44</v>
      </c>
      <c r="E198" s="335">
        <v>2029</v>
      </c>
      <c r="F198" s="344">
        <v>2030</v>
      </c>
      <c r="G198" s="8"/>
      <c r="H198" s="8"/>
      <c r="Q198" s="6"/>
    </row>
    <row r="199" spans="4:18" ht="38.25" x14ac:dyDescent="0.2">
      <c r="D199" s="345" t="s">
        <v>246</v>
      </c>
      <c r="E199" s="371">
        <f>E207*90</f>
        <v>180</v>
      </c>
      <c r="F199" s="372">
        <f>E208*90</f>
        <v>90</v>
      </c>
      <c r="G199" s="8"/>
      <c r="H199" s="8"/>
      <c r="Q199" s="6"/>
    </row>
    <row r="200" spans="4:18" x14ac:dyDescent="0.2">
      <c r="D200" s="341" t="s">
        <v>47</v>
      </c>
      <c r="E200" s="323">
        <f>ROUNDUP(E199*$G$194*(1+$F$186)^5,-2)</f>
        <v>37300</v>
      </c>
      <c r="F200" s="323">
        <f>ROUNDUP(F199*$G$194*(1+$F$186)^6,-2)</f>
        <v>19400</v>
      </c>
      <c r="G200" s="342"/>
      <c r="H200" s="343"/>
      <c r="Q200" s="6"/>
    </row>
    <row r="201" spans="4:18" x14ac:dyDescent="0.2">
      <c r="D201" s="1"/>
    </row>
    <row r="202" spans="4:18" x14ac:dyDescent="0.2">
      <c r="D202" s="351" t="s">
        <v>272</v>
      </c>
      <c r="E202" s="347"/>
      <c r="F202" s="348"/>
      <c r="G202" s="348"/>
      <c r="H202" s="336"/>
      <c r="K202" s="346"/>
      <c r="Q202" s="6"/>
    </row>
    <row r="203" spans="4:18" x14ac:dyDescent="0.2">
      <c r="D203" s="341">
        <v>2025</v>
      </c>
      <c r="E203" s="372">
        <v>3</v>
      </c>
    </row>
    <row r="204" spans="4:18" x14ac:dyDescent="0.2">
      <c r="D204" s="341">
        <v>2026</v>
      </c>
      <c r="E204" s="372">
        <v>3</v>
      </c>
    </row>
    <row r="205" spans="4:18" x14ac:dyDescent="0.2">
      <c r="D205" s="341">
        <v>2027</v>
      </c>
      <c r="E205" s="372">
        <v>3</v>
      </c>
      <c r="Q205" s="6"/>
    </row>
    <row r="206" spans="4:18" x14ac:dyDescent="0.2">
      <c r="D206" s="341">
        <v>2028</v>
      </c>
      <c r="E206" s="372">
        <v>2</v>
      </c>
    </row>
    <row r="207" spans="4:18" x14ac:dyDescent="0.2">
      <c r="D207" s="341">
        <v>2029</v>
      </c>
      <c r="E207" s="372">
        <v>2</v>
      </c>
      <c r="Q207" s="6"/>
    </row>
    <row r="208" spans="4:18" x14ac:dyDescent="0.2">
      <c r="D208" s="341">
        <v>2030</v>
      </c>
      <c r="E208" s="372">
        <v>1</v>
      </c>
      <c r="Q208" s="6"/>
    </row>
    <row r="209" spans="2:17" x14ac:dyDescent="0.2">
      <c r="D209" s="1"/>
      <c r="Q209" s="6"/>
    </row>
    <row r="210" spans="2:17" x14ac:dyDescent="0.2">
      <c r="B210" s="12"/>
      <c r="E210" s="36"/>
      <c r="Q210" s="6"/>
    </row>
    <row r="211" spans="2:17" x14ac:dyDescent="0.2">
      <c r="B211" s="12"/>
      <c r="E211" s="36"/>
      <c r="Q211" s="6"/>
    </row>
    <row r="212" spans="2:17" x14ac:dyDescent="0.2">
      <c r="B212" s="12"/>
      <c r="E212" s="36"/>
      <c r="Q212" s="6"/>
    </row>
    <row r="213" spans="2:17" x14ac:dyDescent="0.2">
      <c r="D213" s="1"/>
      <c r="Q213" s="6"/>
    </row>
    <row r="214" spans="2:17" x14ac:dyDescent="0.2">
      <c r="D214" s="1"/>
      <c r="Q214" s="6"/>
    </row>
    <row r="216" spans="2:17" x14ac:dyDescent="0.2">
      <c r="Q216" s="2"/>
    </row>
    <row r="217" spans="2:17" x14ac:dyDescent="0.2">
      <c r="Q217" s="6"/>
    </row>
    <row r="218" spans="2:17" x14ac:dyDescent="0.2">
      <c r="Q218" s="6"/>
    </row>
    <row r="219" spans="2:17" x14ac:dyDescent="0.2">
      <c r="Q219" s="6"/>
    </row>
  </sheetData>
  <customSheetViews>
    <customSheetView guid="{75DBF38E-DFBC-4022-9776-42B50461E60D}" scale="75" showPageBreaks="1" showGridLines="0" fitToPage="1" printArea="1" hiddenColumns="1" view="pageBreakPreview" topLeftCell="A43">
      <selection activeCell="E33" sqref="E33"/>
      <pageMargins left="0.19685039370078741" right="0.19685039370078741" top="0.19685039370078741" bottom="0.19685039370078741" header="0.39370078740157483" footer="0.51181102362204722"/>
      <printOptions horizontalCentered="1"/>
      <pageSetup scale="64" orientation="portrait" r:id="rId1"/>
      <headerFooter alignWithMargins="0"/>
    </customSheetView>
  </customSheetViews>
  <mergeCells count="9">
    <mergeCell ref="E188:F188"/>
    <mergeCell ref="E194:F194"/>
    <mergeCell ref="E178:F178"/>
    <mergeCell ref="E170:F170"/>
    <mergeCell ref="B2:H2"/>
    <mergeCell ref="B3:H3"/>
    <mergeCell ref="B165:H167"/>
    <mergeCell ref="B4:H4"/>
    <mergeCell ref="B6:C6"/>
  </mergeCells>
  <dataValidations count="1">
    <dataValidation type="list" allowBlank="1" showInputMessage="1" showErrorMessage="1" sqref="D80 D92 D107 D16:D18 D50 D46:D48" xr:uid="{00000000-0002-0000-0500-000000000000}">
      <formula1>Prices</formula1>
    </dataValidation>
  </dataValidations>
  <printOptions horizontalCentered="1"/>
  <pageMargins left="0.19685039370078741" right="0.19685039370078741" top="0.19685039370078741" bottom="0.19685039370078741" header="0.39370078740157483" footer="0.51181102362204722"/>
  <pageSetup scale="82" fitToHeight="0" orientation="portrait" r:id="rId2"/>
  <headerFooter alignWithMargins="0"/>
  <rowBreaks count="2" manualBreakCount="2">
    <brk id="55" min="1" max="7" man="1"/>
    <brk id="116" min="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00"/>
    <pageSetUpPr fitToPage="1"/>
  </sheetPr>
  <dimension ref="B1:AC79"/>
  <sheetViews>
    <sheetView showGridLines="0" view="pageBreakPreview" topLeftCell="B1" zoomScaleNormal="100" zoomScaleSheetLayoutView="100" workbookViewId="0">
      <selection activeCell="E15" sqref="E15"/>
    </sheetView>
  </sheetViews>
  <sheetFormatPr defaultColWidth="9.140625" defaultRowHeight="15" x14ac:dyDescent="0.2"/>
  <cols>
    <col min="1" max="1" width="8" style="6" customWidth="1"/>
    <col min="2" max="2" width="8" style="4" customWidth="1"/>
    <col min="3" max="3" width="43.85546875" style="5" customWidth="1"/>
    <col min="4" max="4" width="12.85546875" style="5" bestFit="1" customWidth="1"/>
    <col min="5" max="5" width="41.42578125" style="5" customWidth="1"/>
    <col min="6" max="6" width="15.5703125" style="6" customWidth="1"/>
    <col min="7" max="7" width="15.5703125" style="35" customWidth="1"/>
    <col min="8" max="8" width="15.5703125" style="9" customWidth="1"/>
    <col min="9" max="9" width="15.140625" style="6" customWidth="1"/>
    <col min="10" max="11" width="10.85546875" style="6" hidden="1" customWidth="1"/>
    <col min="12" max="12" width="13.5703125" style="6" customWidth="1"/>
    <col min="13" max="13" width="13.85546875" style="6" customWidth="1"/>
    <col min="14" max="14" width="68" style="6" customWidth="1"/>
    <col min="15" max="16" width="9.140625" style="6"/>
    <col min="17" max="17" width="9.85546875" style="6" bestFit="1" customWidth="1"/>
    <col min="18" max="18" width="7" style="6" customWidth="1"/>
    <col min="19" max="20" width="9.140625" style="6"/>
    <col min="21" max="21" width="11.140625" style="6" bestFit="1" customWidth="1"/>
    <col min="22" max="16384" width="9.140625" style="6"/>
  </cols>
  <sheetData>
    <row r="1" spans="2:20" ht="15.75" thickBot="1" x14ac:dyDescent="0.25"/>
    <row r="2" spans="2:20" ht="21" customHeight="1" x14ac:dyDescent="0.2">
      <c r="B2" s="198" t="s">
        <v>153</v>
      </c>
      <c r="C2" s="199"/>
      <c r="D2" s="199"/>
      <c r="E2" s="199"/>
      <c r="F2" s="199"/>
      <c r="G2" s="199"/>
      <c r="H2" s="199"/>
      <c r="I2" s="200"/>
    </row>
    <row r="3" spans="2:20" ht="21" customHeight="1" x14ac:dyDescent="0.2">
      <c r="B3" s="390" t="s">
        <v>176</v>
      </c>
      <c r="C3" s="403"/>
      <c r="D3" s="403"/>
      <c r="E3" s="403"/>
      <c r="F3" s="403"/>
      <c r="G3" s="403"/>
      <c r="H3" s="403"/>
      <c r="I3" s="404"/>
    </row>
    <row r="4" spans="2:20" ht="13.5" thickBot="1" x14ac:dyDescent="0.25">
      <c r="B4" s="382" t="s">
        <v>334</v>
      </c>
      <c r="C4" s="399"/>
      <c r="D4" s="399"/>
      <c r="E4" s="399"/>
      <c r="F4" s="399"/>
      <c r="G4" s="399"/>
      <c r="H4" s="399"/>
      <c r="I4" s="400"/>
    </row>
    <row r="5" spans="2:20" ht="26.25" thickBot="1" x14ac:dyDescent="0.25">
      <c r="B5" s="113" t="s">
        <v>16</v>
      </c>
      <c r="C5" s="50" t="s">
        <v>17</v>
      </c>
      <c r="D5" s="50" t="s">
        <v>25</v>
      </c>
      <c r="E5" s="50" t="s">
        <v>18</v>
      </c>
      <c r="F5" s="50" t="s">
        <v>19</v>
      </c>
      <c r="G5" s="95" t="s">
        <v>20</v>
      </c>
      <c r="H5" s="50" t="s">
        <v>4</v>
      </c>
      <c r="I5" s="51" t="s">
        <v>34</v>
      </c>
      <c r="M5" s="37" t="s">
        <v>24</v>
      </c>
      <c r="N5" s="37" t="s">
        <v>39</v>
      </c>
    </row>
    <row r="6" spans="2:20" ht="12.75" x14ac:dyDescent="0.2">
      <c r="B6" s="114">
        <v>3.1</v>
      </c>
      <c r="C6" s="96" t="s">
        <v>230</v>
      </c>
      <c r="D6" s="119"/>
      <c r="E6" s="98"/>
      <c r="F6" s="98"/>
      <c r="G6" s="97"/>
      <c r="H6" s="98"/>
      <c r="I6" s="99"/>
      <c r="M6" s="8"/>
      <c r="N6" s="7"/>
    </row>
    <row r="7" spans="2:20" ht="12.75" x14ac:dyDescent="0.2">
      <c r="B7" s="121"/>
      <c r="C7" s="154"/>
      <c r="D7" s="86"/>
      <c r="E7" s="81"/>
      <c r="F7" s="104"/>
      <c r="G7" s="101"/>
      <c r="H7" s="155"/>
      <c r="I7" s="105"/>
      <c r="M7" s="33"/>
      <c r="N7" s="7"/>
    </row>
    <row r="8" spans="2:20" ht="12.75" customHeight="1" x14ac:dyDescent="0.2">
      <c r="B8" s="121"/>
      <c r="C8" s="88" t="s">
        <v>48</v>
      </c>
      <c r="D8" s="86"/>
      <c r="E8" s="81" t="s">
        <v>49</v>
      </c>
      <c r="F8" s="45" t="s">
        <v>54</v>
      </c>
      <c r="G8" s="101">
        <v>1</v>
      </c>
      <c r="H8" s="155">
        <f>SUM(I53:I58)</f>
        <v>217600</v>
      </c>
      <c r="I8" s="105">
        <f>G8*H8</f>
        <v>217600</v>
      </c>
      <c r="M8" s="33"/>
      <c r="N8" s="7"/>
    </row>
    <row r="9" spans="2:20" ht="12.75" x14ac:dyDescent="0.2">
      <c r="B9" s="125"/>
      <c r="C9" s="88"/>
      <c r="D9" s="122"/>
      <c r="E9" s="85"/>
      <c r="F9" s="86"/>
      <c r="G9" s="87"/>
      <c r="H9" s="106"/>
      <c r="I9" s="157"/>
      <c r="J9" s="9"/>
      <c r="M9" s="7"/>
      <c r="N9" s="7"/>
    </row>
    <row r="10" spans="2:20" ht="13.5" thickBot="1" x14ac:dyDescent="0.25">
      <c r="B10" s="115"/>
      <c r="C10" s="89"/>
      <c r="D10" s="152"/>
      <c r="E10" s="67"/>
      <c r="F10" s="90"/>
      <c r="G10" s="91"/>
      <c r="H10" s="158" t="s">
        <v>1</v>
      </c>
      <c r="I10" s="92">
        <f>SUM(I7:I9)</f>
        <v>217600</v>
      </c>
      <c r="M10" s="7"/>
      <c r="N10" s="7"/>
    </row>
    <row r="11" spans="2:20" ht="12.75" x14ac:dyDescent="0.2">
      <c r="B11" s="116">
        <v>3.2</v>
      </c>
      <c r="C11" s="126" t="s">
        <v>177</v>
      </c>
      <c r="D11" s="143"/>
      <c r="E11" s="77"/>
      <c r="F11" s="77"/>
      <c r="G11" s="78"/>
      <c r="H11" s="184"/>
      <c r="I11" s="79"/>
      <c r="M11" s="33"/>
      <c r="N11" s="33"/>
    </row>
    <row r="12" spans="2:20" ht="15" customHeight="1" x14ac:dyDescent="0.2">
      <c r="B12" s="121"/>
      <c r="C12" s="88"/>
      <c r="D12" s="86"/>
      <c r="E12" s="147"/>
      <c r="F12" s="148"/>
      <c r="G12" s="173"/>
      <c r="H12" s="185"/>
      <c r="I12" s="181"/>
      <c r="J12" s="196">
        <f t="shared" ref="I12:J15" si="0">H12*I12</f>
        <v>0</v>
      </c>
      <c r="M12" s="33"/>
      <c r="N12" s="33"/>
    </row>
    <row r="13" spans="2:20" ht="12.75" x14ac:dyDescent="0.2">
      <c r="B13" s="121"/>
      <c r="C13" s="88" t="s">
        <v>212</v>
      </c>
      <c r="D13" s="86"/>
      <c r="E13" s="81" t="s">
        <v>49</v>
      </c>
      <c r="F13" s="45" t="s">
        <v>54</v>
      </c>
      <c r="G13" s="82">
        <v>1</v>
      </c>
      <c r="H13" s="209">
        <f>H42+SUM(F44:I44)+SUM(F46:I46)</f>
        <v>141250</v>
      </c>
      <c r="I13" s="181">
        <f t="shared" si="0"/>
        <v>141250</v>
      </c>
      <c r="J13" s="196">
        <f t="shared" si="0"/>
        <v>19951562500</v>
      </c>
      <c r="M13" s="33"/>
      <c r="N13" s="191"/>
    </row>
    <row r="14" spans="2:20" ht="25.5" x14ac:dyDescent="0.2">
      <c r="B14" s="121"/>
      <c r="C14" s="88" t="s">
        <v>186</v>
      </c>
      <c r="D14" s="86"/>
      <c r="E14" s="81" t="s">
        <v>49</v>
      </c>
      <c r="F14" s="45" t="s">
        <v>54</v>
      </c>
      <c r="G14" s="137">
        <v>1</v>
      </c>
      <c r="H14" s="186">
        <f>$F$36+$G$36</f>
        <v>0</v>
      </c>
      <c r="I14" s="181">
        <v>0</v>
      </c>
      <c r="J14" s="197">
        <f t="shared" si="0"/>
        <v>0</v>
      </c>
      <c r="M14" s="7"/>
      <c r="N14" s="191" t="s">
        <v>288</v>
      </c>
    </row>
    <row r="15" spans="2:20" ht="12.75" x14ac:dyDescent="0.2">
      <c r="B15" s="121"/>
      <c r="C15" s="88" t="s">
        <v>185</v>
      </c>
      <c r="D15" s="86"/>
      <c r="E15" s="81" t="s">
        <v>49</v>
      </c>
      <c r="F15" s="45" t="s">
        <v>54</v>
      </c>
      <c r="G15" s="137">
        <v>1</v>
      </c>
      <c r="H15" s="187">
        <f>F40</f>
        <v>12700</v>
      </c>
      <c r="I15" s="181">
        <f t="shared" si="0"/>
        <v>12700</v>
      </c>
      <c r="J15" s="196">
        <f t="shared" si="0"/>
        <v>161290000</v>
      </c>
      <c r="K15" s="14"/>
      <c r="M15" s="7"/>
      <c r="N15" s="7"/>
      <c r="O15" s="31"/>
      <c r="P15" s="31"/>
      <c r="Q15" s="31"/>
      <c r="R15" s="31"/>
      <c r="S15" s="31"/>
      <c r="T15" s="31"/>
    </row>
    <row r="16" spans="2:20" ht="12.75" x14ac:dyDescent="0.2">
      <c r="B16" s="121"/>
      <c r="C16" s="88"/>
      <c r="D16" s="86"/>
      <c r="E16" s="81"/>
      <c r="F16" s="104"/>
      <c r="G16" s="101"/>
      <c r="H16" s="188"/>
      <c r="I16" s="182"/>
      <c r="M16" s="7"/>
      <c r="N16" s="7"/>
    </row>
    <row r="17" spans="2:29" ht="12.75" x14ac:dyDescent="0.2">
      <c r="B17" s="121"/>
      <c r="C17" s="88"/>
      <c r="D17" s="122"/>
      <c r="E17" s="80"/>
      <c r="F17" s="45"/>
      <c r="G17" s="190"/>
      <c r="H17" s="189"/>
      <c r="I17" s="84"/>
      <c r="M17" s="7"/>
      <c r="N17" s="7"/>
    </row>
    <row r="18" spans="2:29" ht="13.5" thickBot="1" x14ac:dyDescent="0.25">
      <c r="B18" s="115"/>
      <c r="C18" s="89"/>
      <c r="D18" s="152"/>
      <c r="E18" s="67"/>
      <c r="F18" s="90"/>
      <c r="G18" s="91"/>
      <c r="H18" s="158" t="s">
        <v>1</v>
      </c>
      <c r="I18" s="92">
        <f>SUM(I12:I17)</f>
        <v>153950</v>
      </c>
      <c r="M18" s="7"/>
      <c r="N18" s="7"/>
    </row>
    <row r="19" spans="2:29" ht="12.75" x14ac:dyDescent="0.2">
      <c r="B19" s="75"/>
      <c r="C19" s="76"/>
      <c r="D19" s="144"/>
      <c r="E19" s="77"/>
      <c r="F19" s="77"/>
      <c r="G19" s="78"/>
      <c r="H19" s="150"/>
      <c r="I19" s="79" t="s">
        <v>53</v>
      </c>
      <c r="J19" s="14"/>
      <c r="M19" s="8"/>
      <c r="N19" s="7"/>
    </row>
    <row r="20" spans="2:29" ht="12.75" x14ac:dyDescent="0.2">
      <c r="B20" s="136"/>
      <c r="C20" s="88"/>
      <c r="D20" s="86"/>
      <c r="E20" s="81"/>
      <c r="F20" s="104"/>
      <c r="G20" s="101"/>
      <c r="H20" s="155"/>
      <c r="I20" s="105"/>
      <c r="J20" s="14"/>
      <c r="M20" s="8"/>
      <c r="N20" s="7"/>
    </row>
    <row r="21" spans="2:29" ht="12.75" x14ac:dyDescent="0.2">
      <c r="B21" s="108"/>
      <c r="C21" s="88"/>
      <c r="D21" s="86"/>
      <c r="E21" s="81"/>
      <c r="F21" s="104"/>
      <c r="G21" s="101"/>
      <c r="H21" s="155"/>
      <c r="I21" s="156"/>
      <c r="J21" s="14"/>
      <c r="M21" s="8"/>
      <c r="N21" s="7"/>
    </row>
    <row r="22" spans="2:29" ht="12.75" x14ac:dyDescent="0.2">
      <c r="B22" s="108"/>
      <c r="C22" s="88"/>
      <c r="D22" s="86"/>
      <c r="E22" s="81"/>
      <c r="F22" s="104"/>
      <c r="G22" s="101"/>
      <c r="H22" s="155"/>
      <c r="I22" s="156"/>
      <c r="J22" s="14"/>
      <c r="M22" s="8"/>
      <c r="N22" s="7"/>
    </row>
    <row r="23" spans="2:29" ht="12.75" x14ac:dyDescent="0.2">
      <c r="B23" s="108"/>
      <c r="C23" s="88"/>
      <c r="D23" s="86"/>
      <c r="E23" s="81"/>
      <c r="F23" s="104"/>
      <c r="G23" s="101"/>
      <c r="H23" s="155"/>
      <c r="I23" s="156"/>
      <c r="J23" s="14"/>
      <c r="M23" s="8"/>
      <c r="N23" s="7"/>
    </row>
    <row r="24" spans="2:29" ht="12.75" x14ac:dyDescent="0.2">
      <c r="B24" s="108"/>
      <c r="C24" s="88"/>
      <c r="D24" s="86"/>
      <c r="E24" s="81"/>
      <c r="F24" s="104"/>
      <c r="G24" s="153"/>
      <c r="H24" s="123"/>
      <c r="I24" s="156"/>
      <c r="J24" s="14"/>
      <c r="M24" s="8"/>
      <c r="N24" s="7"/>
    </row>
    <row r="25" spans="2:29" ht="12.75" x14ac:dyDescent="0.2">
      <c r="B25" s="127"/>
      <c r="C25" s="81"/>
      <c r="D25" s="104"/>
      <c r="E25" s="124"/>
      <c r="F25" s="104"/>
      <c r="G25" s="101"/>
      <c r="H25" s="102"/>
      <c r="I25" s="156"/>
      <c r="J25" s="14"/>
      <c r="M25" s="7"/>
      <c r="N25" s="7"/>
    </row>
    <row r="26" spans="2:29" ht="12.75" x14ac:dyDescent="0.2">
      <c r="B26" s="107"/>
      <c r="C26" s="128"/>
      <c r="D26" s="129"/>
      <c r="E26" s="130"/>
      <c r="F26" s="104"/>
      <c r="G26" s="100"/>
      <c r="H26" s="106"/>
      <c r="I26" s="83"/>
      <c r="J26" s="21" t="e">
        <f>SUM(#REF!)</f>
        <v>#REF!</v>
      </c>
      <c r="K26" s="6" t="s">
        <v>22</v>
      </c>
      <c r="M26" s="7"/>
      <c r="N26" s="7"/>
    </row>
    <row r="27" spans="2:29" ht="13.5" thickBot="1" x14ac:dyDescent="0.25">
      <c r="B27" s="115"/>
      <c r="C27" s="89"/>
      <c r="D27" s="89"/>
      <c r="E27" s="67"/>
      <c r="F27" s="90"/>
      <c r="G27" s="91"/>
      <c r="H27" s="158" t="s">
        <v>1</v>
      </c>
      <c r="I27" s="92">
        <f>SUM(I20:I26)</f>
        <v>0</v>
      </c>
      <c r="J27" s="14"/>
      <c r="M27" s="7"/>
      <c r="N27" s="7"/>
    </row>
    <row r="28" spans="2:29" ht="26.25" customHeight="1" thickBot="1" x14ac:dyDescent="0.25">
      <c r="B28" s="132" t="s">
        <v>94</v>
      </c>
      <c r="C28" s="159"/>
      <c r="D28" s="159"/>
      <c r="E28" s="160"/>
      <c r="F28" s="160"/>
      <c r="G28" s="161"/>
      <c r="H28" s="162"/>
      <c r="I28" s="201">
        <f>+I10+I18+I27</f>
        <v>371550</v>
      </c>
      <c r="K28" s="2"/>
      <c r="M28" s="7"/>
      <c r="N28" s="7"/>
      <c r="S28" s="5"/>
      <c r="T28" s="5"/>
      <c r="U28" s="5"/>
      <c r="V28" s="5"/>
      <c r="W28" s="5"/>
      <c r="X28" s="5"/>
      <c r="Y28" s="5"/>
      <c r="Z28" s="5"/>
      <c r="AA28" s="5"/>
      <c r="AB28" s="5"/>
      <c r="AC28" s="5"/>
    </row>
    <row r="29" spans="2:29" ht="12.75" customHeight="1" x14ac:dyDescent="0.2">
      <c r="B29" s="202" t="s">
        <v>21</v>
      </c>
      <c r="C29" s="133"/>
      <c r="D29" s="133"/>
      <c r="E29" s="133"/>
      <c r="F29" s="133"/>
      <c r="G29" s="134"/>
      <c r="H29" s="133"/>
      <c r="I29" s="203"/>
      <c r="J29" s="10"/>
      <c r="S29" s="5"/>
    </row>
    <row r="30" spans="2:29" ht="13.5" customHeight="1" x14ac:dyDescent="0.2">
      <c r="B30" s="204"/>
      <c r="C30" s="131"/>
      <c r="D30" s="131"/>
      <c r="E30" s="131"/>
      <c r="F30" s="131"/>
      <c r="G30" s="131"/>
      <c r="H30" s="131"/>
      <c r="I30" s="205"/>
      <c r="J30" s="11"/>
      <c r="S30" s="5"/>
      <c r="T30" s="5"/>
      <c r="U30" s="5"/>
      <c r="V30" s="5"/>
      <c r="W30" s="5"/>
      <c r="X30" s="5"/>
      <c r="Y30" s="5"/>
      <c r="Z30" s="5"/>
      <c r="AA30" s="5"/>
      <c r="AB30" s="5"/>
      <c r="AC30" s="5"/>
    </row>
    <row r="31" spans="2:29" ht="13.5" customHeight="1" x14ac:dyDescent="0.2">
      <c r="B31" s="204"/>
      <c r="C31" s="131"/>
      <c r="D31" s="131"/>
      <c r="E31" s="131"/>
      <c r="F31" s="131"/>
      <c r="G31" s="131"/>
      <c r="H31" s="131"/>
      <c r="I31" s="205"/>
      <c r="J31" s="11"/>
      <c r="M31" s="7" t="s">
        <v>202</v>
      </c>
      <c r="N31" s="6" t="s">
        <v>45</v>
      </c>
      <c r="S31" s="5"/>
      <c r="T31" s="5"/>
      <c r="U31" s="5"/>
      <c r="V31" s="5"/>
      <c r="W31" s="5"/>
      <c r="X31" s="5"/>
      <c r="Y31" s="5"/>
      <c r="Z31" s="5"/>
      <c r="AA31" s="5"/>
      <c r="AB31" s="5"/>
      <c r="AC31" s="5"/>
    </row>
    <row r="32" spans="2:29" ht="13.5" customHeight="1" thickBot="1" x14ac:dyDescent="0.25">
      <c r="B32" s="206"/>
      <c r="C32" s="207"/>
      <c r="D32" s="207"/>
      <c r="E32" s="207"/>
      <c r="F32" s="207"/>
      <c r="G32" s="207"/>
      <c r="H32" s="207"/>
      <c r="I32" s="208"/>
      <c r="M32" s="8">
        <v>1</v>
      </c>
      <c r="N32" s="31">
        <v>2024</v>
      </c>
      <c r="S32" s="5"/>
      <c r="T32" s="5"/>
      <c r="U32" s="5"/>
      <c r="V32" s="5"/>
      <c r="W32" s="5"/>
      <c r="X32" s="5"/>
      <c r="Y32" s="5"/>
      <c r="Z32" s="5"/>
      <c r="AA32" s="5"/>
      <c r="AB32" s="5"/>
      <c r="AC32" s="5"/>
    </row>
    <row r="33" spans="2:29" x14ac:dyDescent="0.2">
      <c r="B33" s="6"/>
      <c r="C33" s="4"/>
      <c r="D33" s="4"/>
      <c r="F33" s="5"/>
      <c r="H33" s="35"/>
      <c r="M33" s="8">
        <v>2</v>
      </c>
      <c r="N33" s="31">
        <v>2025</v>
      </c>
      <c r="S33" s="5"/>
      <c r="T33" s="5"/>
      <c r="U33" s="5"/>
      <c r="V33" s="5"/>
      <c r="W33" s="5"/>
      <c r="X33" s="5"/>
      <c r="Y33" s="5"/>
      <c r="Z33" s="5"/>
      <c r="AA33" s="5"/>
      <c r="AB33" s="5"/>
      <c r="AC33" s="5"/>
    </row>
    <row r="34" spans="2:29" x14ac:dyDescent="0.2">
      <c r="E34" s="41"/>
      <c r="F34" s="24"/>
      <c r="G34" s="30"/>
      <c r="H34" s="21"/>
      <c r="I34" s="14"/>
      <c r="M34" s="8">
        <v>3</v>
      </c>
      <c r="N34" s="31">
        <v>2026</v>
      </c>
      <c r="S34" s="5"/>
      <c r="T34" s="5"/>
      <c r="U34" s="5"/>
      <c r="V34" s="5"/>
      <c r="W34" s="5"/>
      <c r="X34" s="5"/>
      <c r="Y34" s="5"/>
      <c r="Z34" s="5"/>
      <c r="AA34" s="5"/>
      <c r="AB34" s="5"/>
      <c r="AC34" s="5"/>
    </row>
    <row r="35" spans="2:29" x14ac:dyDescent="0.2">
      <c r="E35" s="376"/>
      <c r="F35" s="24"/>
      <c r="G35" s="377"/>
      <c r="H35" s="21"/>
      <c r="I35" s="14"/>
      <c r="M35" s="8">
        <v>4</v>
      </c>
      <c r="N35" s="31">
        <v>2027</v>
      </c>
      <c r="S35" s="5"/>
      <c r="T35" s="5"/>
      <c r="U35" s="5"/>
      <c r="V35" s="5"/>
      <c r="W35" s="5"/>
      <c r="X35" s="5"/>
      <c r="Y35" s="5"/>
      <c r="Z35" s="5"/>
      <c r="AA35" s="5"/>
      <c r="AB35" s="5"/>
      <c r="AC35" s="5"/>
    </row>
    <row r="36" spans="2:29" x14ac:dyDescent="0.2">
      <c r="B36" s="16"/>
      <c r="E36" s="376"/>
      <c r="F36" s="378"/>
      <c r="G36" s="378"/>
      <c r="H36" s="21"/>
      <c r="I36" s="14"/>
      <c r="M36" s="8">
        <v>5</v>
      </c>
      <c r="N36" s="31">
        <v>2028</v>
      </c>
      <c r="S36" s="5"/>
      <c r="T36" s="5"/>
      <c r="U36" s="5"/>
      <c r="V36" s="5"/>
      <c r="W36" s="5"/>
      <c r="X36" s="5"/>
      <c r="Y36" s="5"/>
      <c r="Z36" s="5"/>
      <c r="AA36" s="5"/>
      <c r="AB36" s="5"/>
      <c r="AC36" s="5"/>
    </row>
    <row r="37" spans="2:29" x14ac:dyDescent="0.2">
      <c r="B37" s="18"/>
      <c r="E37" s="41"/>
      <c r="F37" s="14"/>
      <c r="G37" s="30"/>
      <c r="H37" s="14"/>
      <c r="I37" s="14"/>
      <c r="J37" s="2"/>
      <c r="K37" s="15"/>
      <c r="M37" s="8">
        <v>6</v>
      </c>
      <c r="N37" s="31">
        <v>2029</v>
      </c>
    </row>
    <row r="38" spans="2:29" ht="15.75" thickBot="1" x14ac:dyDescent="0.25">
      <c r="B38" s="19"/>
      <c r="E38" s="286"/>
      <c r="F38" s="316" t="s">
        <v>43</v>
      </c>
      <c r="G38" s="317"/>
      <c r="H38" s="318">
        <v>10400</v>
      </c>
      <c r="I38" s="290" t="s">
        <v>200</v>
      </c>
      <c r="J38" s="2"/>
      <c r="K38" s="15"/>
      <c r="M38" s="8">
        <v>7</v>
      </c>
      <c r="N38" s="31">
        <v>2030</v>
      </c>
    </row>
    <row r="39" spans="2:29" ht="15.75" thickTop="1" x14ac:dyDescent="0.2">
      <c r="B39" s="13"/>
      <c r="C39" s="183"/>
      <c r="E39" s="307" t="s">
        <v>44</v>
      </c>
      <c r="F39" s="308">
        <v>2028</v>
      </c>
      <c r="G39" s="287"/>
      <c r="H39" s="288"/>
      <c r="I39" s="319"/>
      <c r="J39" s="20"/>
      <c r="K39" s="28"/>
      <c r="M39" s="14"/>
      <c r="N39" s="31"/>
    </row>
    <row r="40" spans="2:29" x14ac:dyDescent="0.2">
      <c r="B40" s="13"/>
      <c r="E40" s="180" t="s">
        <v>47</v>
      </c>
      <c r="F40" s="323">
        <f>ROUNDUP($H$38*(1+$N$42)^5,-2)</f>
        <v>12700</v>
      </c>
      <c r="G40" s="320"/>
      <c r="H40" s="8"/>
      <c r="I40" s="315"/>
      <c r="J40" s="9"/>
      <c r="K40" s="15"/>
      <c r="N40" s="31"/>
    </row>
    <row r="41" spans="2:29" x14ac:dyDescent="0.2">
      <c r="B41" s="13"/>
      <c r="E41" s="41"/>
      <c r="F41" s="14"/>
      <c r="G41" s="30"/>
      <c r="H41" s="21"/>
      <c r="I41" s="21"/>
      <c r="J41" s="26"/>
      <c r="K41" s="29"/>
    </row>
    <row r="42" spans="2:29" ht="15.75" thickBot="1" x14ac:dyDescent="0.25">
      <c r="B42" s="19"/>
      <c r="E42" s="286"/>
      <c r="F42" s="316" t="s">
        <v>231</v>
      </c>
      <c r="G42" s="317"/>
      <c r="H42" s="326">
        <f>'T5 Task Unit Costs'!D32</f>
        <v>17850</v>
      </c>
      <c r="I42" s="290" t="s">
        <v>263</v>
      </c>
      <c r="J42" s="2"/>
      <c r="K42" s="15"/>
      <c r="M42" s="6" t="s">
        <v>46</v>
      </c>
      <c r="N42" s="179">
        <v>0.04</v>
      </c>
    </row>
    <row r="43" spans="2:29" ht="15.75" thickTop="1" x14ac:dyDescent="0.2">
      <c r="B43" s="13"/>
      <c r="E43" s="293" t="s">
        <v>44</v>
      </c>
      <c r="F43" s="303"/>
      <c r="G43" s="304">
        <v>2025</v>
      </c>
      <c r="H43" s="305">
        <v>2026</v>
      </c>
      <c r="I43" s="303">
        <v>2027</v>
      </c>
      <c r="J43" s="9"/>
      <c r="K43" s="15"/>
    </row>
    <row r="44" spans="2:29" ht="15.75" thickBot="1" x14ac:dyDescent="0.25">
      <c r="B44" s="13"/>
      <c r="E44" s="309" t="s">
        <v>47</v>
      </c>
      <c r="F44" s="325"/>
      <c r="G44" s="325">
        <f>ROUNDUP($H$42*(1+$N$42)^1,-2)</f>
        <v>18600</v>
      </c>
      <c r="H44" s="325">
        <f>ROUNDUP($H$42*(1+$N$42)^2,-2)</f>
        <v>19400</v>
      </c>
      <c r="I44" s="325">
        <f>ROUNDUP($H$42*(1+$N$42)^3,-2)</f>
        <v>20100</v>
      </c>
      <c r="J44" s="9"/>
      <c r="K44" s="15"/>
      <c r="M44" s="6" t="s">
        <v>262</v>
      </c>
    </row>
    <row r="45" spans="2:29" x14ac:dyDescent="0.2">
      <c r="B45" s="13"/>
      <c r="E45" s="293" t="s">
        <v>44</v>
      </c>
      <c r="F45" s="303">
        <v>2028</v>
      </c>
      <c r="G45" s="304">
        <v>2029</v>
      </c>
      <c r="H45" s="305">
        <v>2030</v>
      </c>
      <c r="I45" s="331"/>
      <c r="J45" s="9"/>
      <c r="K45" s="15"/>
    </row>
    <row r="46" spans="2:29" x14ac:dyDescent="0.2">
      <c r="B46" s="13"/>
      <c r="E46" s="180" t="s">
        <v>47</v>
      </c>
      <c r="F46" s="323">
        <f>ROUNDUP($H$42*(1+$N$42)^4,-2)</f>
        <v>20900</v>
      </c>
      <c r="G46" s="323">
        <f>ROUNDUP($H$42*(1+$N$42)^5,-2)</f>
        <v>21800</v>
      </c>
      <c r="H46" s="323">
        <f>ROUNDUP($H$42*(1+$N$42)^6,-2)</f>
        <v>22600</v>
      </c>
      <c r="I46" s="323"/>
      <c r="J46" s="9"/>
      <c r="K46" s="15"/>
    </row>
    <row r="47" spans="2:29" x14ac:dyDescent="0.2">
      <c r="B47" s="13"/>
      <c r="E47" s="6"/>
      <c r="F47" s="14"/>
      <c r="G47" s="30"/>
      <c r="H47" s="25"/>
      <c r="I47" s="9"/>
      <c r="J47" s="9"/>
      <c r="K47" s="15"/>
    </row>
    <row r="48" spans="2:29" ht="13.5" thickBot="1" x14ac:dyDescent="0.25">
      <c r="B48" s="13"/>
      <c r="C48" s="407" t="s">
        <v>232</v>
      </c>
      <c r="D48" s="408"/>
      <c r="E48" s="409"/>
      <c r="F48" s="290"/>
      <c r="G48" s="289"/>
      <c r="H48" s="291"/>
      <c r="I48" s="292"/>
      <c r="J48" s="26"/>
      <c r="K48" s="29"/>
      <c r="L48" s="330"/>
      <c r="M48" s="6" t="s">
        <v>152</v>
      </c>
    </row>
    <row r="49" spans="3:24" ht="15.75" thickTop="1" x14ac:dyDescent="0.2">
      <c r="C49" s="410" t="s">
        <v>331</v>
      </c>
      <c r="D49" s="411"/>
      <c r="E49" s="411"/>
      <c r="F49" s="411"/>
      <c r="G49" s="411"/>
      <c r="H49" s="412"/>
      <c r="I49" s="324">
        <f>10500*3</f>
        <v>31500</v>
      </c>
      <c r="J49" s="33"/>
      <c r="K49" s="33"/>
      <c r="L49" s="303" t="s">
        <v>261</v>
      </c>
      <c r="M49" s="6" t="s">
        <v>237</v>
      </c>
    </row>
    <row r="50" spans="3:24" x14ac:dyDescent="0.2">
      <c r="I50" s="26"/>
      <c r="J50" s="2"/>
      <c r="K50" s="2"/>
      <c r="L50" s="2"/>
    </row>
    <row r="51" spans="3:24" x14ac:dyDescent="0.2">
      <c r="H51" s="405" t="s">
        <v>273</v>
      </c>
      <c r="I51" s="406"/>
    </row>
    <row r="52" spans="3:24" ht="15.75" thickBot="1" x14ac:dyDescent="0.25">
      <c r="G52" s="193"/>
      <c r="H52" s="316" t="s">
        <v>44</v>
      </c>
      <c r="I52" s="316" t="s">
        <v>201</v>
      </c>
    </row>
    <row r="53" spans="3:24" ht="15.75" thickTop="1" x14ac:dyDescent="0.2">
      <c r="H53" s="327">
        <v>2025</v>
      </c>
      <c r="I53" s="323">
        <f>ROUNDUP($I$49*(1+$N$42)^1,-2)</f>
        <v>32800</v>
      </c>
    </row>
    <row r="54" spans="3:24" x14ac:dyDescent="0.2">
      <c r="H54" s="327">
        <v>2026</v>
      </c>
      <c r="I54" s="323">
        <f>ROUNDUP($I$49*(1+$N$42)^2,-2)</f>
        <v>34100</v>
      </c>
      <c r="X54" s="6" t="s">
        <v>14</v>
      </c>
    </row>
    <row r="55" spans="3:24" x14ac:dyDescent="0.2">
      <c r="H55" s="327">
        <v>2027</v>
      </c>
      <c r="I55" s="323">
        <f>ROUNDUP($I$49*(1+$N$42)^3,-2)</f>
        <v>35500</v>
      </c>
    </row>
    <row r="56" spans="3:24" x14ac:dyDescent="0.2">
      <c r="H56" s="327">
        <v>2028</v>
      </c>
      <c r="I56" s="323">
        <f>ROUNDUP($I$49*(1+$N$42)^4,-2)</f>
        <v>36900</v>
      </c>
    </row>
    <row r="57" spans="3:24" x14ac:dyDescent="0.2">
      <c r="H57" s="8">
        <v>2029</v>
      </c>
      <c r="I57" s="323">
        <f>ROUNDUP($I$49*(1+$N$42)^5,-2)</f>
        <v>38400</v>
      </c>
    </row>
    <row r="58" spans="3:24" x14ac:dyDescent="0.2">
      <c r="H58" s="8">
        <v>2030</v>
      </c>
      <c r="I58" s="323">
        <f>ROUNDUP($I$49*(1+$N$42)^6,-2)</f>
        <v>39900</v>
      </c>
    </row>
    <row r="59" spans="3:24" x14ac:dyDescent="0.2">
      <c r="F59" s="14"/>
    </row>
    <row r="60" spans="3:24" x14ac:dyDescent="0.2">
      <c r="F60" s="14"/>
      <c r="T60" s="9"/>
    </row>
    <row r="61" spans="3:24" x14ac:dyDescent="0.2">
      <c r="F61" s="14"/>
    </row>
    <row r="62" spans="3:24" x14ac:dyDescent="0.2">
      <c r="F62" s="14"/>
    </row>
    <row r="63" spans="3:24" x14ac:dyDescent="0.2">
      <c r="F63" s="14"/>
    </row>
    <row r="64" spans="3:24" x14ac:dyDescent="0.2">
      <c r="F64" s="14"/>
    </row>
    <row r="65" spans="2:19" x14ac:dyDescent="0.2">
      <c r="F65" s="14"/>
    </row>
    <row r="66" spans="2:19" x14ac:dyDescent="0.2">
      <c r="F66" s="14"/>
    </row>
    <row r="67" spans="2:19" x14ac:dyDescent="0.2">
      <c r="F67" s="14"/>
    </row>
    <row r="68" spans="2:19" x14ac:dyDescent="0.2">
      <c r="F68" s="14"/>
    </row>
    <row r="69" spans="2:19" x14ac:dyDescent="0.2">
      <c r="F69" s="14"/>
    </row>
    <row r="70" spans="2:19" x14ac:dyDescent="0.2">
      <c r="F70" s="14"/>
    </row>
    <row r="71" spans="2:19" x14ac:dyDescent="0.2">
      <c r="F71" s="14"/>
    </row>
    <row r="72" spans="2:19" x14ac:dyDescent="0.2">
      <c r="F72" s="14"/>
    </row>
    <row r="73" spans="2:19" x14ac:dyDescent="0.2">
      <c r="F73" s="14"/>
    </row>
    <row r="74" spans="2:19" x14ac:dyDescent="0.2">
      <c r="F74" s="14"/>
    </row>
    <row r="75" spans="2:19" x14ac:dyDescent="0.2">
      <c r="B75" s="12"/>
      <c r="G75" s="36"/>
    </row>
    <row r="76" spans="2:19" x14ac:dyDescent="0.2">
      <c r="B76" s="12"/>
      <c r="G76" s="36"/>
    </row>
    <row r="77" spans="2:19" x14ac:dyDescent="0.2">
      <c r="B77" s="12"/>
      <c r="G77" s="36"/>
    </row>
    <row r="78" spans="2:19" x14ac:dyDescent="0.2">
      <c r="F78" s="14"/>
    </row>
    <row r="79" spans="2:19" x14ac:dyDescent="0.2">
      <c r="F79" s="14"/>
      <c r="S79" s="2"/>
    </row>
  </sheetData>
  <customSheetViews>
    <customSheetView guid="{75DBF38E-DFBC-4022-9776-42B50461E60D}" scale="75" showPageBreaks="1" showGridLines="0" fitToPage="1" printArea="1" hiddenColumns="1" view="pageBreakPreview">
      <selection activeCell="E33" sqref="E33"/>
      <pageMargins left="0.19685039370078741" right="0.19685039370078741" top="0.19685039370078741" bottom="0.19685039370078741" header="0.39370078740157483" footer="0.51181102362204722"/>
      <printOptions horizontalCentered="1"/>
      <pageSetup scale="70" orientation="landscape" r:id="rId1"/>
      <headerFooter alignWithMargins="0"/>
    </customSheetView>
  </customSheetViews>
  <mergeCells count="5">
    <mergeCell ref="B4:I4"/>
    <mergeCell ref="B3:I3"/>
    <mergeCell ref="H51:I51"/>
    <mergeCell ref="C48:E48"/>
    <mergeCell ref="C49:H49"/>
  </mergeCells>
  <dataValidations count="1">
    <dataValidation type="list" allowBlank="1" showInputMessage="1" showErrorMessage="1" sqref="E20:E25 E7:E8 E12:E16" xr:uid="{00000000-0002-0000-0600-000000000000}">
      <formula1>Prices</formula1>
    </dataValidation>
  </dataValidations>
  <printOptions horizontalCentered="1"/>
  <pageMargins left="0.19685039370078741" right="0.19685039370078741" top="0.19685039370078741" bottom="0.19685039370078741" header="0.39370078740157483" footer="0.51181102362204722"/>
  <pageSetup scale="82"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52"/>
    <pageSetUpPr fitToPage="1"/>
  </sheetPr>
  <dimension ref="B1:U67"/>
  <sheetViews>
    <sheetView view="pageBreakPreview" zoomScaleNormal="100" zoomScaleSheetLayoutView="100" workbookViewId="0">
      <selection activeCell="C29" sqref="C29"/>
    </sheetView>
  </sheetViews>
  <sheetFormatPr defaultColWidth="8.85546875" defaultRowHeight="12.75" x14ac:dyDescent="0.2"/>
  <cols>
    <col min="1" max="1" width="8.85546875" customWidth="1"/>
    <col min="2" max="2" width="38.7109375" customWidth="1"/>
    <col min="3" max="3" width="14.140625" customWidth="1"/>
    <col min="4" max="4" width="18.28515625" customWidth="1"/>
    <col min="5" max="5" width="7.28515625" bestFit="1" customWidth="1"/>
    <col min="6" max="6" width="10.42578125" style="6" customWidth="1"/>
    <col min="7" max="7" width="98" style="6" customWidth="1"/>
    <col min="8" max="8" width="11.5703125" customWidth="1"/>
    <col min="13" max="13" width="12.140625" customWidth="1"/>
  </cols>
  <sheetData>
    <row r="1" spans="2:21" s="38" customFormat="1" ht="21" customHeight="1" thickBot="1" x14ac:dyDescent="0.25">
      <c r="B1" s="384" t="s">
        <v>154</v>
      </c>
      <c r="C1" s="388"/>
      <c r="D1" s="389"/>
      <c r="E1" s="139"/>
      <c r="F1" s="37" t="s">
        <v>24</v>
      </c>
      <c r="G1" s="37" t="s">
        <v>39</v>
      </c>
      <c r="K1" s="22"/>
    </row>
    <row r="2" spans="2:21" s="38" customFormat="1" ht="21" customHeight="1" x14ac:dyDescent="0.2">
      <c r="B2" s="384" t="s">
        <v>86</v>
      </c>
      <c r="C2" s="388"/>
      <c r="D2" s="389"/>
      <c r="E2" s="140"/>
      <c r="F2" s="141"/>
      <c r="G2" s="141"/>
      <c r="H2" s="142"/>
      <c r="K2" s="22"/>
    </row>
    <row r="3" spans="2:21" ht="13.5" thickBot="1" x14ac:dyDescent="0.25">
      <c r="B3" s="429" t="s">
        <v>334</v>
      </c>
      <c r="C3" s="399"/>
      <c r="D3" s="400"/>
      <c r="E3" s="177"/>
      <c r="F3" s="177"/>
      <c r="G3" s="177"/>
      <c r="H3" s="24"/>
      <c r="I3" s="24"/>
      <c r="K3" s="6"/>
    </row>
    <row r="4" spans="2:21" ht="12.75" customHeight="1" thickBot="1" x14ac:dyDescent="0.25">
      <c r="B4" s="420" t="s">
        <v>2</v>
      </c>
      <c r="C4" s="421"/>
      <c r="D4" s="422"/>
      <c r="F4" s="34"/>
      <c r="G4" s="7"/>
      <c r="K4" s="6"/>
    </row>
    <row r="5" spans="2:21" ht="12.75" customHeight="1" thickBot="1" x14ac:dyDescent="0.25">
      <c r="B5" s="52" t="s">
        <v>3</v>
      </c>
      <c r="C5" s="53" t="s">
        <v>194</v>
      </c>
      <c r="D5" s="54" t="s">
        <v>5</v>
      </c>
      <c r="F5" s="34"/>
      <c r="G5" s="7"/>
      <c r="H5" s="21"/>
      <c r="K5" s="6"/>
    </row>
    <row r="6" spans="2:21" x14ac:dyDescent="0.2">
      <c r="B6" s="55" t="s">
        <v>57</v>
      </c>
      <c r="C6" s="323">
        <f>ROUNDUP(208*(1+$N$43)^4,-1)</f>
        <v>250</v>
      </c>
      <c r="D6" s="56" t="s">
        <v>6</v>
      </c>
      <c r="E6" s="17"/>
      <c r="F6" s="34"/>
      <c r="G6" s="7" t="s">
        <v>223</v>
      </c>
      <c r="H6" s="21"/>
      <c r="K6" s="6"/>
    </row>
    <row r="7" spans="2:21" x14ac:dyDescent="0.2">
      <c r="B7" s="57" t="s">
        <v>58</v>
      </c>
      <c r="C7" s="323">
        <f>ROUNDUP(181*(1+$N$43)^4,-1)</f>
        <v>220</v>
      </c>
      <c r="D7" s="59" t="s">
        <v>6</v>
      </c>
      <c r="E7" s="17"/>
      <c r="F7" s="34"/>
      <c r="G7" s="7" t="s">
        <v>223</v>
      </c>
      <c r="H7" s="21"/>
      <c r="K7" s="6"/>
    </row>
    <row r="8" spans="2:21" x14ac:dyDescent="0.2">
      <c r="B8" s="57" t="s">
        <v>84</v>
      </c>
      <c r="C8" s="323">
        <f>ROUNDUP(200*(1+$N$43)^4,-1)</f>
        <v>240</v>
      </c>
      <c r="D8" s="46" t="s">
        <v>6</v>
      </c>
      <c r="E8" s="17"/>
      <c r="F8" s="34"/>
      <c r="G8" s="7" t="s">
        <v>223</v>
      </c>
      <c r="H8" s="21"/>
      <c r="K8" s="6"/>
    </row>
    <row r="9" spans="2:21" x14ac:dyDescent="0.2">
      <c r="B9" s="57" t="s">
        <v>56</v>
      </c>
      <c r="C9" s="323">
        <f>ROUNDUP(181*(1+$N$43)^4,-1)</f>
        <v>220</v>
      </c>
      <c r="D9" s="46" t="s">
        <v>6</v>
      </c>
      <c r="E9" s="17"/>
      <c r="F9" s="34"/>
      <c r="G9" s="7" t="s">
        <v>223</v>
      </c>
      <c r="H9" s="21"/>
      <c r="K9" s="6"/>
    </row>
    <row r="10" spans="2:21" x14ac:dyDescent="0.2">
      <c r="B10" s="55" t="s">
        <v>59</v>
      </c>
      <c r="C10" s="323">
        <f>ROUNDUP(208*(1+$N$43)^4,-1)</f>
        <v>250</v>
      </c>
      <c r="D10" s="46" t="s">
        <v>6</v>
      </c>
      <c r="E10" s="17"/>
      <c r="F10" s="34"/>
      <c r="G10" s="7" t="s">
        <v>223</v>
      </c>
      <c r="H10" s="21"/>
      <c r="K10" s="6"/>
    </row>
    <row r="11" spans="2:21" x14ac:dyDescent="0.2">
      <c r="B11" s="167" t="s">
        <v>29</v>
      </c>
      <c r="C11" s="323">
        <v>190</v>
      </c>
      <c r="D11" s="46" t="s">
        <v>6</v>
      </c>
      <c r="F11" s="7"/>
      <c r="G11" s="7" t="s">
        <v>215</v>
      </c>
      <c r="H11" s="21"/>
      <c r="K11" s="6"/>
    </row>
    <row r="12" spans="2:21" ht="14.25" customHeight="1" thickBot="1" x14ac:dyDescent="0.25">
      <c r="B12" s="329" t="s">
        <v>330</v>
      </c>
      <c r="C12" s="62"/>
      <c r="D12" s="63"/>
      <c r="F12" s="34"/>
      <c r="G12" s="7"/>
      <c r="H12" s="21"/>
      <c r="K12" s="5"/>
      <c r="L12" s="5"/>
      <c r="M12" s="5"/>
      <c r="N12" s="5"/>
      <c r="O12" s="5"/>
      <c r="P12" s="5"/>
      <c r="Q12" s="5"/>
      <c r="R12" s="5"/>
      <c r="S12" s="5"/>
      <c r="T12" s="5"/>
      <c r="U12" s="5"/>
    </row>
    <row r="13" spans="2:21" ht="15.75" thickBot="1" x14ac:dyDescent="0.25">
      <c r="B13" s="149"/>
      <c r="C13" s="47"/>
      <c r="D13" s="176"/>
      <c r="F13" s="34"/>
      <c r="G13" s="7"/>
      <c r="H13" s="21"/>
      <c r="K13" s="5"/>
      <c r="L13" s="5"/>
      <c r="M13" s="5"/>
      <c r="N13" s="5"/>
      <c r="O13" s="5"/>
      <c r="P13" s="5"/>
      <c r="Q13" s="5"/>
      <c r="R13" s="5"/>
      <c r="S13" s="5"/>
      <c r="T13" s="5"/>
      <c r="U13" s="5"/>
    </row>
    <row r="14" spans="2:21" ht="15.75" thickBot="1" x14ac:dyDescent="0.25">
      <c r="B14" s="423" t="s">
        <v>52</v>
      </c>
      <c r="C14" s="424"/>
      <c r="D14" s="425"/>
      <c r="F14" s="34"/>
      <c r="G14" s="7"/>
      <c r="H14" s="21"/>
      <c r="K14" s="5"/>
      <c r="L14" s="5"/>
      <c r="M14" s="5"/>
      <c r="N14" s="5"/>
      <c r="O14" s="5"/>
      <c r="P14" s="5"/>
      <c r="Q14" s="5"/>
      <c r="R14" s="5"/>
      <c r="S14" s="5"/>
      <c r="T14" s="5"/>
      <c r="U14" s="5"/>
    </row>
    <row r="15" spans="2:21" s="6" customFormat="1" ht="13.5" thickBot="1" x14ac:dyDescent="0.25">
      <c r="B15" s="64" t="s">
        <v>8</v>
      </c>
      <c r="C15" s="53" t="s">
        <v>4</v>
      </c>
      <c r="D15" s="54" t="s">
        <v>5</v>
      </c>
      <c r="E15" s="24"/>
      <c r="F15" s="32"/>
      <c r="G15" s="7"/>
      <c r="H15" s="21"/>
    </row>
    <row r="16" spans="2:21" ht="12" customHeight="1" x14ac:dyDescent="0.2">
      <c r="B16" s="57" t="s">
        <v>51</v>
      </c>
      <c r="C16" s="58">
        <v>8000</v>
      </c>
      <c r="D16" s="46" t="s">
        <v>7</v>
      </c>
      <c r="F16" s="7"/>
      <c r="G16" s="7" t="s">
        <v>215</v>
      </c>
      <c r="H16" s="21"/>
      <c r="K16" s="5"/>
      <c r="L16" s="5"/>
      <c r="M16" s="5"/>
      <c r="N16" s="5"/>
      <c r="O16" s="5"/>
      <c r="P16" s="5"/>
      <c r="Q16" s="5"/>
      <c r="R16" s="5"/>
      <c r="S16" s="5"/>
      <c r="T16" s="5"/>
      <c r="U16" s="5"/>
    </row>
    <row r="17" spans="2:21" ht="12" customHeight="1" x14ac:dyDescent="0.2">
      <c r="B17" s="57" t="s">
        <v>61</v>
      </c>
      <c r="C17" s="65">
        <v>175</v>
      </c>
      <c r="D17" s="46" t="s">
        <v>6</v>
      </c>
      <c r="F17" s="7"/>
      <c r="G17" s="7" t="s">
        <v>215</v>
      </c>
      <c r="H17" s="21"/>
      <c r="K17" s="5"/>
      <c r="L17" s="5"/>
      <c r="M17" s="5"/>
      <c r="N17" s="5"/>
      <c r="O17" s="5"/>
      <c r="P17" s="5"/>
      <c r="Q17" s="5"/>
      <c r="R17" s="5"/>
      <c r="S17" s="5"/>
      <c r="T17" s="5"/>
      <c r="U17" s="5"/>
    </row>
    <row r="18" spans="2:21" ht="12" customHeight="1" x14ac:dyDescent="0.2">
      <c r="B18" s="57" t="s">
        <v>103</v>
      </c>
      <c r="C18" s="65">
        <v>150</v>
      </c>
      <c r="D18" s="46" t="s">
        <v>6</v>
      </c>
      <c r="F18" s="7"/>
      <c r="G18" s="7" t="s">
        <v>215</v>
      </c>
      <c r="H18" s="21"/>
      <c r="K18" s="5"/>
      <c r="L18" s="5"/>
      <c r="M18" s="5"/>
      <c r="N18" s="5"/>
      <c r="O18" s="5"/>
      <c r="P18" s="5"/>
      <c r="Q18" s="5"/>
      <c r="R18" s="5"/>
      <c r="S18" s="5"/>
      <c r="T18" s="5"/>
      <c r="U18" s="5"/>
    </row>
    <row r="19" spans="2:21" ht="12" customHeight="1" x14ac:dyDescent="0.2">
      <c r="B19" s="57" t="s">
        <v>102</v>
      </c>
      <c r="C19" s="65">
        <v>130</v>
      </c>
      <c r="D19" s="46" t="s">
        <v>6</v>
      </c>
      <c r="F19" s="7"/>
      <c r="G19" s="7" t="s">
        <v>215</v>
      </c>
      <c r="H19" s="21"/>
      <c r="K19" s="5"/>
      <c r="L19" s="5"/>
      <c r="M19" s="5"/>
      <c r="N19" s="5"/>
      <c r="O19" s="5"/>
      <c r="P19" s="5"/>
      <c r="Q19" s="5"/>
      <c r="R19" s="5"/>
      <c r="S19" s="5"/>
      <c r="T19" s="5"/>
      <c r="U19" s="5"/>
    </row>
    <row r="20" spans="2:21" ht="12" customHeight="1" x14ac:dyDescent="0.2">
      <c r="B20" s="57" t="s">
        <v>9</v>
      </c>
      <c r="C20" s="65">
        <v>90</v>
      </c>
      <c r="D20" s="46" t="s">
        <v>6</v>
      </c>
      <c r="F20" s="7"/>
      <c r="G20" s="7" t="s">
        <v>215</v>
      </c>
      <c r="H20" s="21"/>
      <c r="K20" s="5"/>
      <c r="L20" s="5"/>
      <c r="M20" s="5"/>
      <c r="N20" s="5"/>
      <c r="O20" s="5"/>
      <c r="P20" s="5"/>
      <c r="Q20" s="5"/>
      <c r="R20" s="5"/>
      <c r="S20" s="5"/>
      <c r="T20" s="5"/>
      <c r="U20" s="5"/>
    </row>
    <row r="21" spans="2:21" ht="12" customHeight="1" x14ac:dyDescent="0.2">
      <c r="B21" s="57" t="s">
        <v>60</v>
      </c>
      <c r="C21" s="323">
        <f>ROUNDUP(302*(1+$N$43)^2,-1)</f>
        <v>330</v>
      </c>
      <c r="D21" s="46" t="s">
        <v>62</v>
      </c>
      <c r="F21" s="7"/>
      <c r="G21" s="7" t="s">
        <v>216</v>
      </c>
      <c r="H21" s="21"/>
      <c r="K21" s="5"/>
      <c r="L21" s="5"/>
      <c r="M21" s="5"/>
      <c r="N21" s="5"/>
      <c r="O21" s="5"/>
      <c r="P21" s="5"/>
      <c r="Q21" s="5"/>
      <c r="R21" s="5"/>
      <c r="S21" s="5"/>
      <c r="T21" s="5"/>
      <c r="U21" s="5"/>
    </row>
    <row r="22" spans="2:21" ht="12" customHeight="1" x14ac:dyDescent="0.2">
      <c r="B22" s="73" t="s">
        <v>83</v>
      </c>
      <c r="C22" s="323">
        <f>ROUNDUP(229*(1+$N$43)^2,-1)</f>
        <v>250</v>
      </c>
      <c r="D22" s="215" t="s">
        <v>6</v>
      </c>
      <c r="F22" s="7"/>
      <c r="G22" s="7" t="s">
        <v>222</v>
      </c>
      <c r="H22" s="21"/>
      <c r="K22" s="5"/>
      <c r="L22" s="5"/>
      <c r="M22" s="5"/>
      <c r="N22" s="5"/>
      <c r="O22" s="5"/>
      <c r="P22" s="5"/>
      <c r="Q22" s="5"/>
      <c r="R22" s="5"/>
      <c r="S22" s="5"/>
      <c r="T22" s="5"/>
      <c r="U22" s="5"/>
    </row>
    <row r="23" spans="2:21" ht="12" customHeight="1" thickBot="1" x14ac:dyDescent="0.25">
      <c r="B23" s="66" t="s">
        <v>63</v>
      </c>
      <c r="C23" s="325">
        <f>ROUNDUP(2400*(1+$N$43)^2,-2)</f>
        <v>2600</v>
      </c>
      <c r="D23" s="68" t="s">
        <v>62</v>
      </c>
      <c r="F23" s="7"/>
      <c r="G23" s="7" t="s">
        <v>221</v>
      </c>
      <c r="H23" s="27"/>
      <c r="K23" s="6"/>
    </row>
    <row r="24" spans="2:21" ht="13.5" thickBot="1" x14ac:dyDescent="0.25">
      <c r="B24" s="149"/>
      <c r="C24" s="47"/>
      <c r="D24" s="176"/>
      <c r="F24" s="7"/>
      <c r="G24" s="7"/>
      <c r="H24" s="27"/>
      <c r="K24" s="6"/>
    </row>
    <row r="25" spans="2:21" ht="13.5" thickBot="1" x14ac:dyDescent="0.25">
      <c r="B25" s="178" t="s">
        <v>31</v>
      </c>
      <c r="C25" s="53" t="s">
        <v>4</v>
      </c>
      <c r="D25" s="54" t="s">
        <v>5</v>
      </c>
      <c r="F25" s="7"/>
      <c r="G25" s="7"/>
      <c r="H25" s="27"/>
      <c r="K25" s="6"/>
    </row>
    <row r="26" spans="2:21" ht="12.75" hidden="1" customHeight="1" thickBot="1" x14ac:dyDescent="0.25">
      <c r="B26" s="70" t="s">
        <v>10</v>
      </c>
      <c r="C26" s="72">
        <v>4.5</v>
      </c>
      <c r="D26" s="56" t="s">
        <v>11</v>
      </c>
      <c r="F26" s="7"/>
      <c r="G26" s="7"/>
      <c r="H26" s="27"/>
    </row>
    <row r="27" spans="2:21" x14ac:dyDescent="0.2">
      <c r="B27" s="57"/>
      <c r="C27" s="58"/>
      <c r="D27" s="59"/>
      <c r="F27" s="7"/>
      <c r="G27" s="7"/>
      <c r="H27" s="27"/>
      <c r="K27" s="6"/>
    </row>
    <row r="28" spans="2:21" x14ac:dyDescent="0.2">
      <c r="B28" s="168" t="s">
        <v>181</v>
      </c>
      <c r="C28" s="323">
        <f>ROUNDUP(16848*(1+$N$43)^2,-2)</f>
        <v>18300</v>
      </c>
      <c r="D28" s="59" t="s">
        <v>38</v>
      </c>
      <c r="E28" s="6"/>
      <c r="F28" s="7"/>
      <c r="G28" s="7" t="s">
        <v>220</v>
      </c>
      <c r="H28" s="27"/>
      <c r="K28" s="6"/>
    </row>
    <row r="29" spans="2:21" x14ac:dyDescent="0.2">
      <c r="B29" s="57" t="s">
        <v>85</v>
      </c>
      <c r="C29" s="323">
        <f>ROUNDUP(17992*(1+$N$43)^2,-2)</f>
        <v>19500</v>
      </c>
      <c r="D29" s="59" t="s">
        <v>38</v>
      </c>
      <c r="F29" s="7"/>
      <c r="G29" s="7" t="s">
        <v>220</v>
      </c>
      <c r="K29" s="6"/>
    </row>
    <row r="30" spans="2:21" x14ac:dyDescent="0.2">
      <c r="B30" s="57" t="s">
        <v>82</v>
      </c>
      <c r="C30" s="323">
        <f>ROUNDUP(18096*(1+$N$43)^2,-2)</f>
        <v>19600</v>
      </c>
      <c r="D30" s="59" t="s">
        <v>38</v>
      </c>
      <c r="F30" s="7"/>
      <c r="G30" s="7" t="s">
        <v>220</v>
      </c>
      <c r="K30" s="6"/>
    </row>
    <row r="31" spans="2:21" ht="25.5" x14ac:dyDescent="0.2">
      <c r="B31" s="211" t="s">
        <v>72</v>
      </c>
      <c r="C31" s="323">
        <f>ROUNDUP(1550*(1+$N$43)^2,-2)</f>
        <v>1700</v>
      </c>
      <c r="D31" s="59" t="s">
        <v>6</v>
      </c>
      <c r="F31" s="7"/>
      <c r="G31" s="7" t="s">
        <v>219</v>
      </c>
      <c r="K31" s="6"/>
    </row>
    <row r="32" spans="2:21" x14ac:dyDescent="0.2">
      <c r="B32" s="57" t="s">
        <v>187</v>
      </c>
      <c r="C32" s="323">
        <f>ROUNDUP(1500*(1+$N$43)^2,-2)</f>
        <v>1700</v>
      </c>
      <c r="D32" s="59" t="s">
        <v>13</v>
      </c>
      <c r="F32" s="7"/>
      <c r="G32" s="7" t="s">
        <v>215</v>
      </c>
      <c r="K32" s="6"/>
    </row>
    <row r="33" spans="2:16" x14ac:dyDescent="0.2">
      <c r="B33" s="57" t="s">
        <v>243</v>
      </c>
      <c r="C33" s="323">
        <v>39200</v>
      </c>
      <c r="D33" s="59" t="s">
        <v>13</v>
      </c>
      <c r="F33" s="7"/>
      <c r="G33" s="7" t="s">
        <v>225</v>
      </c>
      <c r="K33" s="6"/>
    </row>
    <row r="34" spans="2:16" x14ac:dyDescent="0.2">
      <c r="B34" s="57" t="s">
        <v>67</v>
      </c>
      <c r="C34" s="323">
        <f>ROUNDUP(742*(1+$N$43)^2,-2)</f>
        <v>900</v>
      </c>
      <c r="D34" s="59" t="s">
        <v>65</v>
      </c>
      <c r="F34" s="8"/>
      <c r="G34" s="7" t="s">
        <v>218</v>
      </c>
    </row>
    <row r="35" spans="2:16" x14ac:dyDescent="0.2">
      <c r="B35" s="73" t="s">
        <v>105</v>
      </c>
      <c r="C35" s="323">
        <v>2100</v>
      </c>
      <c r="D35" s="74" t="s">
        <v>104</v>
      </c>
      <c r="F35" s="8"/>
      <c r="G35" s="7" t="s">
        <v>215</v>
      </c>
    </row>
    <row r="36" spans="2:16" x14ac:dyDescent="0.2">
      <c r="B36" s="73" t="s">
        <v>64</v>
      </c>
      <c r="C36" s="323">
        <f>ROUNDUP(6.06*(1+$N$43)^2,0)</f>
        <v>7</v>
      </c>
      <c r="D36" s="74" t="s">
        <v>33</v>
      </c>
      <c r="F36" s="8"/>
      <c r="G36" s="7" t="s">
        <v>217</v>
      </c>
    </row>
    <row r="37" spans="2:16" x14ac:dyDescent="0.2">
      <c r="B37" s="73" t="s">
        <v>193</v>
      </c>
      <c r="C37" s="65">
        <v>170</v>
      </c>
      <c r="D37" s="74" t="s">
        <v>13</v>
      </c>
      <c r="E37" s="311"/>
      <c r="F37" s="310"/>
      <c r="G37" s="7" t="s">
        <v>215</v>
      </c>
    </row>
    <row r="38" spans="2:16" x14ac:dyDescent="0.2">
      <c r="B38" s="73" t="s">
        <v>42</v>
      </c>
      <c r="C38" s="323">
        <f>ROUNDUP(4000*(1+$N$43)^2,-2)</f>
        <v>4400</v>
      </c>
      <c r="D38" s="74" t="s">
        <v>40</v>
      </c>
      <c r="F38" s="8"/>
      <c r="G38" s="7" t="s">
        <v>216</v>
      </c>
    </row>
    <row r="39" spans="2:16" x14ac:dyDescent="0.2">
      <c r="B39" s="73" t="s">
        <v>66</v>
      </c>
      <c r="C39" s="323">
        <f>ROUNDUP(3040*(1+$N$43)^2,-1)</f>
        <v>3290</v>
      </c>
      <c r="D39" s="74" t="s">
        <v>40</v>
      </c>
      <c r="F39" s="8"/>
      <c r="G39" s="7" t="s">
        <v>216</v>
      </c>
    </row>
    <row r="40" spans="2:16" ht="13.5" thickBot="1" x14ac:dyDescent="0.25">
      <c r="B40" s="66" t="s">
        <v>41</v>
      </c>
      <c r="C40" s="323">
        <f>ROUNDUP(320*(1+$N$43)^3,-1)</f>
        <v>360</v>
      </c>
      <c r="D40" s="69" t="s">
        <v>32</v>
      </c>
      <c r="F40" s="8"/>
      <c r="G40" s="7" t="s">
        <v>286</v>
      </c>
      <c r="K40" s="6"/>
      <c r="P40" s="6"/>
    </row>
    <row r="41" spans="2:16" x14ac:dyDescent="0.2">
      <c r="B41" s="417" t="s">
        <v>15</v>
      </c>
      <c r="C41" s="418"/>
      <c r="D41" s="419"/>
      <c r="K41" s="6"/>
    </row>
    <row r="42" spans="2:16" ht="13.5" thickBot="1" x14ac:dyDescent="0.25">
      <c r="B42" s="426"/>
      <c r="C42" s="427"/>
      <c r="D42" s="428"/>
      <c r="K42" s="6"/>
    </row>
    <row r="43" spans="2:16" x14ac:dyDescent="0.2">
      <c r="B43" s="415"/>
      <c r="C43" s="416"/>
      <c r="D43" s="416"/>
      <c r="K43" s="6"/>
      <c r="M43" s="6" t="s">
        <v>236</v>
      </c>
      <c r="N43" s="340">
        <v>0.04</v>
      </c>
    </row>
    <row r="44" spans="2:16" x14ac:dyDescent="0.2">
      <c r="B44" s="413"/>
      <c r="C44" s="414"/>
      <c r="D44" s="414"/>
      <c r="K44" s="6"/>
    </row>
    <row r="45" spans="2:16" x14ac:dyDescent="0.2">
      <c r="F45" s="323">
        <f>ROUNDUP($H$35*(1+$N$43)^2,-2)</f>
        <v>0</v>
      </c>
      <c r="L45" s="9"/>
    </row>
    <row r="46" spans="2:16" ht="42" customHeight="1" x14ac:dyDescent="0.2">
      <c r="L46" s="6"/>
    </row>
    <row r="47" spans="2:16" ht="30" customHeight="1" x14ac:dyDescent="0.2">
      <c r="L47" s="6"/>
    </row>
    <row r="48" spans="2:16" ht="7.5" customHeight="1" x14ac:dyDescent="0.2">
      <c r="K48" s="6"/>
    </row>
    <row r="50" spans="11:11" x14ac:dyDescent="0.2">
      <c r="K50" s="6"/>
    </row>
    <row r="53" spans="11:11" x14ac:dyDescent="0.2">
      <c r="K53" s="6"/>
    </row>
    <row r="55" spans="11:11" x14ac:dyDescent="0.2">
      <c r="K55" s="6"/>
    </row>
    <row r="56" spans="11:11" x14ac:dyDescent="0.2">
      <c r="K56" s="6"/>
    </row>
    <row r="57" spans="11:11" x14ac:dyDescent="0.2">
      <c r="K57" s="6"/>
    </row>
    <row r="58" spans="11:11" x14ac:dyDescent="0.2">
      <c r="K58" s="6"/>
    </row>
    <row r="59" spans="11:11" x14ac:dyDescent="0.2">
      <c r="K59" s="6"/>
    </row>
    <row r="60" spans="11:11" x14ac:dyDescent="0.2">
      <c r="K60" s="6"/>
    </row>
    <row r="61" spans="11:11" x14ac:dyDescent="0.2">
      <c r="K61" s="6"/>
    </row>
    <row r="62" spans="11:11" x14ac:dyDescent="0.2">
      <c r="K62" s="6"/>
    </row>
    <row r="64" spans="11:11" x14ac:dyDescent="0.2">
      <c r="K64" s="2"/>
    </row>
    <row r="65" spans="11:11" x14ac:dyDescent="0.2">
      <c r="K65" s="6"/>
    </row>
    <row r="66" spans="11:11" x14ac:dyDescent="0.2">
      <c r="K66" s="6"/>
    </row>
    <row r="67" spans="11:11" x14ac:dyDescent="0.2">
      <c r="K67" s="6"/>
    </row>
  </sheetData>
  <customSheetViews>
    <customSheetView guid="{75DBF38E-DFBC-4022-9776-42B50461E60D}" scale="85" showPageBreaks="1" fitToPage="1" printArea="1" hiddenRows="1" hiddenColumns="1" view="pageBreakPreview">
      <selection activeCell="E3" sqref="E3"/>
      <pageMargins left="0.19685039370078741" right="0.19685039370078741" top="0.19685039370078741" bottom="0.19685039370078741" header="0.39370078740157483" footer="0.51181102362204722"/>
      <printOptions horizontalCentered="1"/>
      <pageSetup scale="80" orientation="portrait" r:id="rId1"/>
      <headerFooter alignWithMargins="0"/>
    </customSheetView>
    <customSheetView guid="{0435700E-1392-4025-B07E-FA5F52D90F28}" showPageBreaks="1" fitToPage="1" printArea="1" hiddenRows="1" view="pageBreakPreview" showRuler="0">
      <selection activeCell="C51" sqref="C51"/>
      <pageMargins left="0" right="0" top="0" bottom="0" header="0" footer="0"/>
      <printOptions horizontalCentered="1"/>
      <pageSetup scale="86" orientation="portrait" r:id="rId2"/>
      <headerFooter alignWithMargins="0">
        <oddHeader>&amp;LSHERWOOD COPPER LTD., MINTO MINE
DETAILED DECOMMISSIONING AND RECLAMATION PLAN</oddHeader>
        <oddFooter>&amp;L&amp;8&amp;G&amp;R105</oddFooter>
      </headerFooter>
    </customSheetView>
  </customSheetViews>
  <mergeCells count="9">
    <mergeCell ref="B44:D44"/>
    <mergeCell ref="B43:D43"/>
    <mergeCell ref="B41:D41"/>
    <mergeCell ref="B1:D1"/>
    <mergeCell ref="B2:D2"/>
    <mergeCell ref="B4:D4"/>
    <mergeCell ref="B14:D14"/>
    <mergeCell ref="B42:D42"/>
    <mergeCell ref="B3:D3"/>
  </mergeCells>
  <phoneticPr fontId="0" type="noConversion"/>
  <printOptions horizontalCentered="1"/>
  <pageMargins left="0.23622047244094491" right="0.23622047244094491" top="0.59055118110236227" bottom="0.59055118110236227" header="0.31496062992125984" footer="0.31496062992125984"/>
  <pageSetup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F8E48-CF5F-4DA5-9E91-373FE4CAE3A6}">
  <sheetPr>
    <tabColor indexed="52"/>
    <pageSetUpPr fitToPage="1"/>
  </sheetPr>
  <dimension ref="B1:V63"/>
  <sheetViews>
    <sheetView view="pageBreakPreview" zoomScaleNormal="100" zoomScaleSheetLayoutView="100" workbookViewId="0">
      <selection activeCell="C7" sqref="C7"/>
    </sheetView>
  </sheetViews>
  <sheetFormatPr defaultColWidth="8.85546875" defaultRowHeight="12.75" x14ac:dyDescent="0.2"/>
  <cols>
    <col min="1" max="1" width="8.85546875" customWidth="1"/>
    <col min="2" max="2" width="35.42578125" customWidth="1"/>
    <col min="3" max="3" width="13.42578125" customWidth="1"/>
    <col min="4" max="4" width="8.42578125" customWidth="1"/>
    <col min="5" max="5" width="18.28515625" customWidth="1"/>
    <col min="6" max="6" width="7.28515625" bestFit="1" customWidth="1"/>
    <col min="7" max="7" width="10.42578125" style="6" customWidth="1"/>
    <col min="8" max="8" width="98" style="6" customWidth="1"/>
    <col min="9" max="9" width="11.5703125" customWidth="1"/>
  </cols>
  <sheetData>
    <row r="1" spans="2:22" s="38" customFormat="1" ht="21" customHeight="1" x14ac:dyDescent="0.2">
      <c r="B1" s="384" t="s">
        <v>155</v>
      </c>
      <c r="C1" s="388"/>
      <c r="D1" s="388"/>
      <c r="E1" s="389"/>
      <c r="F1" s="139"/>
      <c r="G1" s="37" t="s">
        <v>24</v>
      </c>
      <c r="H1" s="37" t="s">
        <v>39</v>
      </c>
      <c r="L1" s="22"/>
    </row>
    <row r="2" spans="2:22" s="38" customFormat="1" ht="21" customHeight="1" x14ac:dyDescent="0.2">
      <c r="B2" s="390" t="s">
        <v>100</v>
      </c>
      <c r="C2" s="447"/>
      <c r="D2" s="447"/>
      <c r="E2" s="392"/>
      <c r="F2" s="140"/>
      <c r="G2" s="141"/>
      <c r="H2" s="141"/>
      <c r="I2" s="142"/>
      <c r="L2" s="22"/>
    </row>
    <row r="3" spans="2:22" ht="13.5" thickBot="1" x14ac:dyDescent="0.25">
      <c r="B3" s="429" t="s">
        <v>335</v>
      </c>
      <c r="C3" s="399"/>
      <c r="D3" s="399"/>
      <c r="E3" s="400"/>
      <c r="F3" s="177"/>
      <c r="G3" s="177"/>
      <c r="H3" s="177"/>
      <c r="I3" s="24"/>
      <c r="J3" s="24"/>
      <c r="L3" s="6"/>
    </row>
    <row r="4" spans="2:22" ht="12.75" customHeight="1" thickBot="1" x14ac:dyDescent="0.25">
      <c r="B4" s="216" t="s">
        <v>87</v>
      </c>
      <c r="C4" s="216" t="s">
        <v>20</v>
      </c>
      <c r="D4" s="216" t="s">
        <v>19</v>
      </c>
      <c r="E4" s="216" t="s">
        <v>95</v>
      </c>
      <c r="G4" s="34"/>
      <c r="H4" s="7"/>
      <c r="L4" s="6"/>
    </row>
    <row r="5" spans="2:22" ht="12.75" customHeight="1" thickBot="1" x14ac:dyDescent="0.25">
      <c r="B5" s="430" t="s">
        <v>96</v>
      </c>
      <c r="C5" s="431"/>
      <c r="D5" s="431"/>
      <c r="E5" s="432"/>
      <c r="G5" s="34"/>
      <c r="H5" s="7"/>
      <c r="I5" s="21"/>
      <c r="L5" s="6"/>
    </row>
    <row r="6" spans="2:22" ht="12.75" customHeight="1" thickBot="1" x14ac:dyDescent="0.25">
      <c r="B6" s="52"/>
      <c r="C6" s="53"/>
      <c r="D6" s="53"/>
      <c r="E6" s="54"/>
      <c r="G6" s="34"/>
      <c r="H6" s="7"/>
      <c r="I6" s="21"/>
      <c r="L6" s="6"/>
    </row>
    <row r="7" spans="2:22" x14ac:dyDescent="0.2">
      <c r="B7" s="55"/>
      <c r="C7" s="171"/>
      <c r="D7" s="163"/>
      <c r="E7" s="56"/>
      <c r="F7" s="17"/>
      <c r="G7" s="34"/>
      <c r="H7" s="7"/>
      <c r="I7" s="21"/>
      <c r="L7" s="6"/>
    </row>
    <row r="8" spans="2:22" x14ac:dyDescent="0.2">
      <c r="B8" s="57" t="s">
        <v>160</v>
      </c>
      <c r="C8" s="169"/>
      <c r="D8" s="65">
        <v>11</v>
      </c>
      <c r="E8" s="59" t="s">
        <v>12</v>
      </c>
      <c r="G8" s="7"/>
      <c r="H8" s="7" t="s">
        <v>215</v>
      </c>
      <c r="I8" s="21"/>
      <c r="L8" s="6"/>
    </row>
    <row r="9" spans="2:22" x14ac:dyDescent="0.2">
      <c r="B9" s="57" t="s">
        <v>158</v>
      </c>
      <c r="C9" s="169"/>
      <c r="D9" s="65">
        <v>9</v>
      </c>
      <c r="E9" s="59" t="s">
        <v>12</v>
      </c>
      <c r="G9" s="7"/>
      <c r="H9" s="7" t="s">
        <v>215</v>
      </c>
      <c r="I9" s="21"/>
      <c r="L9" s="6"/>
    </row>
    <row r="10" spans="2:22" x14ac:dyDescent="0.2">
      <c r="B10" s="167" t="s">
        <v>159</v>
      </c>
      <c r="C10" s="145"/>
      <c r="D10" s="58">
        <v>14</v>
      </c>
      <c r="E10" s="59" t="s">
        <v>12</v>
      </c>
      <c r="G10" s="7"/>
      <c r="H10" s="7" t="s">
        <v>215</v>
      </c>
      <c r="I10" s="21"/>
      <c r="L10" s="6"/>
    </row>
    <row r="11" spans="2:22" x14ac:dyDescent="0.2">
      <c r="B11" s="57" t="s">
        <v>292</v>
      </c>
      <c r="C11" s="145"/>
      <c r="D11" s="58">
        <v>2</v>
      </c>
      <c r="E11" s="59" t="s">
        <v>293</v>
      </c>
      <c r="G11" s="7"/>
      <c r="H11" s="7" t="s">
        <v>215</v>
      </c>
      <c r="I11" s="21"/>
      <c r="L11" s="6"/>
    </row>
    <row r="12" spans="2:22" ht="14.25" customHeight="1" thickBot="1" x14ac:dyDescent="0.25">
      <c r="B12" s="60"/>
      <c r="C12" s="172"/>
      <c r="D12" s="375"/>
      <c r="E12" s="63"/>
      <c r="G12" s="34"/>
      <c r="H12" s="7"/>
      <c r="I12" s="21"/>
      <c r="L12" s="5"/>
      <c r="M12" s="5"/>
      <c r="N12" s="5"/>
      <c r="O12" s="5"/>
      <c r="P12" s="5"/>
      <c r="Q12" s="5"/>
      <c r="R12" s="5"/>
      <c r="S12" s="5"/>
      <c r="T12" s="5"/>
      <c r="U12" s="5"/>
      <c r="V12" s="5"/>
    </row>
    <row r="13" spans="2:22" ht="15.75" thickBot="1" x14ac:dyDescent="0.25">
      <c r="B13" s="149"/>
      <c r="C13" s="448"/>
      <c r="D13" s="448"/>
      <c r="E13" s="176"/>
      <c r="G13" s="34"/>
      <c r="H13" s="7"/>
      <c r="I13" s="21"/>
      <c r="L13" s="5"/>
      <c r="M13" s="5"/>
      <c r="N13" s="5"/>
      <c r="O13" s="5"/>
      <c r="P13" s="5"/>
      <c r="Q13" s="5"/>
      <c r="R13" s="5"/>
      <c r="S13" s="5"/>
      <c r="T13" s="5"/>
      <c r="U13" s="5"/>
      <c r="V13" s="5"/>
    </row>
    <row r="14" spans="2:22" ht="15.75" thickBot="1" x14ac:dyDescent="0.25">
      <c r="B14" s="423" t="s">
        <v>97</v>
      </c>
      <c r="C14" s="424"/>
      <c r="D14" s="424"/>
      <c r="E14" s="425"/>
      <c r="G14" s="34"/>
      <c r="H14" s="7"/>
      <c r="I14" s="21"/>
      <c r="L14" s="5"/>
      <c r="M14" s="5"/>
      <c r="N14" s="5"/>
      <c r="O14" s="5"/>
      <c r="P14" s="5"/>
      <c r="Q14" s="5"/>
      <c r="R14" s="5"/>
      <c r="S14" s="5"/>
      <c r="T14" s="5"/>
      <c r="U14" s="5"/>
      <c r="V14" s="5"/>
    </row>
    <row r="15" spans="2:22" ht="12" customHeight="1" x14ac:dyDescent="0.2">
      <c r="B15" s="57" t="s">
        <v>10</v>
      </c>
      <c r="C15" s="145"/>
      <c r="D15" s="352">
        <v>2.5</v>
      </c>
      <c r="E15" s="59" t="s">
        <v>12</v>
      </c>
      <c r="G15" s="7"/>
      <c r="H15" s="7" t="s">
        <v>215</v>
      </c>
      <c r="I15" s="21"/>
      <c r="L15" s="5"/>
      <c r="M15" s="5"/>
      <c r="N15" s="5"/>
      <c r="O15" s="5"/>
      <c r="P15" s="5"/>
      <c r="Q15" s="5"/>
      <c r="R15" s="5"/>
      <c r="S15" s="5"/>
      <c r="T15" s="5"/>
      <c r="U15" s="5"/>
      <c r="V15" s="5"/>
    </row>
    <row r="16" spans="2:22" ht="12" customHeight="1" x14ac:dyDescent="0.2">
      <c r="B16" s="57" t="s">
        <v>161</v>
      </c>
      <c r="C16" s="169"/>
      <c r="D16" s="353">
        <v>2.5</v>
      </c>
      <c r="E16" s="59" t="s">
        <v>12</v>
      </c>
      <c r="G16" s="7"/>
      <c r="H16" s="7" t="s">
        <v>215</v>
      </c>
      <c r="I16" s="21"/>
      <c r="L16" s="5"/>
      <c r="M16" s="5"/>
      <c r="N16" s="5"/>
      <c r="O16" s="5"/>
      <c r="P16" s="5"/>
      <c r="Q16" s="5"/>
      <c r="R16" s="5"/>
      <c r="S16" s="5"/>
      <c r="T16" s="5"/>
      <c r="U16" s="5"/>
      <c r="V16" s="5"/>
    </row>
    <row r="17" spans="2:22" ht="12" customHeight="1" x14ac:dyDescent="0.2">
      <c r="B17" s="57" t="s">
        <v>250</v>
      </c>
      <c r="C17" s="169"/>
      <c r="D17" s="353">
        <v>2.5</v>
      </c>
      <c r="E17" s="59" t="s">
        <v>23</v>
      </c>
      <c r="G17" s="7"/>
      <c r="H17" s="7"/>
      <c r="I17" s="21"/>
      <c r="L17" s="5"/>
      <c r="M17" s="5"/>
      <c r="N17" s="5"/>
      <c r="O17" s="5"/>
      <c r="P17" s="5"/>
      <c r="Q17" s="5"/>
      <c r="R17" s="5"/>
      <c r="S17" s="5"/>
      <c r="T17" s="5"/>
      <c r="U17" s="5"/>
      <c r="V17" s="5"/>
    </row>
    <row r="18" spans="2:22" ht="12" customHeight="1" x14ac:dyDescent="0.2">
      <c r="B18" s="57" t="s">
        <v>166</v>
      </c>
      <c r="C18" s="169"/>
      <c r="D18" s="65">
        <v>12</v>
      </c>
      <c r="E18" s="59" t="s">
        <v>12</v>
      </c>
      <c r="G18" s="7"/>
      <c r="H18" s="7" t="s">
        <v>215</v>
      </c>
      <c r="I18" s="21"/>
      <c r="L18" s="5"/>
      <c r="M18" s="5"/>
      <c r="N18" s="5"/>
      <c r="O18" s="5"/>
      <c r="P18" s="5"/>
      <c r="Q18" s="5"/>
      <c r="R18" s="5"/>
      <c r="S18" s="5"/>
      <c r="T18" s="5"/>
      <c r="U18" s="5"/>
      <c r="V18" s="5"/>
    </row>
    <row r="19" spans="2:22" ht="12" customHeight="1" x14ac:dyDescent="0.2">
      <c r="B19" s="73" t="s">
        <v>162</v>
      </c>
      <c r="C19" s="169"/>
      <c r="D19" s="65">
        <f>10*1.04*1.04*1.04</f>
        <v>11.248640000000002</v>
      </c>
      <c r="E19" s="59" t="s">
        <v>12</v>
      </c>
      <c r="G19" s="7"/>
      <c r="H19" s="7" t="s">
        <v>224</v>
      </c>
      <c r="I19" s="21"/>
      <c r="L19" s="5"/>
      <c r="M19" s="5"/>
      <c r="N19" s="5"/>
      <c r="O19" s="5"/>
      <c r="P19" s="5"/>
      <c r="Q19" s="5"/>
      <c r="R19" s="5"/>
      <c r="S19" s="5"/>
      <c r="T19" s="5"/>
      <c r="U19" s="5"/>
      <c r="V19" s="5"/>
    </row>
    <row r="20" spans="2:22" ht="12" customHeight="1" thickBot="1" x14ac:dyDescent="0.25">
      <c r="B20" s="66"/>
      <c r="C20" s="170"/>
      <c r="D20" s="62"/>
      <c r="E20" s="68"/>
      <c r="G20" s="7"/>
      <c r="H20" s="7"/>
      <c r="I20" s="27"/>
      <c r="L20" s="6"/>
    </row>
    <row r="21" spans="2:22" ht="12" customHeight="1" thickBot="1" x14ac:dyDescent="0.25">
      <c r="B21" s="60"/>
      <c r="C21" s="61"/>
      <c r="D21" s="217"/>
      <c r="E21" s="218"/>
      <c r="G21" s="7"/>
      <c r="H21" s="7"/>
      <c r="I21" s="27"/>
      <c r="L21" s="6"/>
    </row>
    <row r="22" spans="2:22" ht="12" customHeight="1" thickBot="1" x14ac:dyDescent="0.25">
      <c r="B22" s="423" t="s">
        <v>98</v>
      </c>
      <c r="C22" s="424"/>
      <c r="D22" s="424"/>
      <c r="E22" s="425"/>
      <c r="G22" s="7"/>
      <c r="H22" s="7"/>
      <c r="I22" s="27"/>
      <c r="L22" s="6"/>
    </row>
    <row r="23" spans="2:22" ht="24.75" customHeight="1" x14ac:dyDescent="0.2">
      <c r="B23" s="57" t="s">
        <v>123</v>
      </c>
      <c r="C23" s="145"/>
      <c r="D23" s="260">
        <f>27.5/2</f>
        <v>13.75</v>
      </c>
      <c r="E23" s="46" t="s">
        <v>124</v>
      </c>
      <c r="G23" s="7"/>
      <c r="H23" s="191" t="s">
        <v>278</v>
      </c>
      <c r="I23" s="27"/>
      <c r="L23" s="6"/>
    </row>
    <row r="24" spans="2:22" ht="12" customHeight="1" x14ac:dyDescent="0.2">
      <c r="B24" s="73"/>
      <c r="C24" s="169"/>
      <c r="D24" s="65"/>
      <c r="E24" s="215"/>
      <c r="G24" s="7"/>
      <c r="H24" s="7"/>
      <c r="I24" s="27"/>
      <c r="L24" s="6"/>
    </row>
    <row r="25" spans="2:22" ht="12" customHeight="1" thickBot="1" x14ac:dyDescent="0.25">
      <c r="B25" s="66"/>
      <c r="C25" s="170"/>
      <c r="D25" s="62"/>
      <c r="E25" s="68"/>
      <c r="G25" s="7"/>
      <c r="H25" s="7"/>
      <c r="I25" s="27"/>
      <c r="L25" s="6"/>
    </row>
    <row r="26" spans="2:22" ht="13.5" thickBot="1" x14ac:dyDescent="0.25">
      <c r="B26" s="423" t="s">
        <v>99</v>
      </c>
      <c r="C26" s="433"/>
      <c r="D26" s="433"/>
      <c r="E26" s="434"/>
      <c r="G26" s="7"/>
      <c r="H26" s="7"/>
      <c r="I26" s="27"/>
      <c r="L26" s="6"/>
    </row>
    <row r="27" spans="2:22" ht="12.75" hidden="1" customHeight="1" x14ac:dyDescent="0.2">
      <c r="B27" s="70" t="s">
        <v>10</v>
      </c>
      <c r="C27" s="71"/>
      <c r="D27" s="72">
        <v>4.5</v>
      </c>
      <c r="E27" s="56" t="s">
        <v>11</v>
      </c>
      <c r="G27" s="7"/>
      <c r="H27" s="7"/>
      <c r="I27" s="27"/>
    </row>
    <row r="28" spans="2:22" x14ac:dyDescent="0.2">
      <c r="B28" s="57"/>
      <c r="C28" s="145"/>
      <c r="D28" s="58"/>
      <c r="E28" s="59"/>
      <c r="G28" s="7"/>
      <c r="H28" s="7"/>
      <c r="I28" s="27"/>
      <c r="L28" s="6"/>
    </row>
    <row r="29" spans="2:22" x14ac:dyDescent="0.2">
      <c r="B29" s="57" t="s">
        <v>164</v>
      </c>
      <c r="C29" s="145"/>
      <c r="D29" s="58">
        <v>8</v>
      </c>
      <c r="E29" s="59" t="s">
        <v>192</v>
      </c>
      <c r="G29" s="7"/>
      <c r="H29" s="7" t="s">
        <v>215</v>
      </c>
      <c r="I29" s="27"/>
      <c r="L29" s="6"/>
    </row>
    <row r="30" spans="2:22" x14ac:dyDescent="0.2">
      <c r="B30" s="57" t="s">
        <v>163</v>
      </c>
      <c r="C30" s="145"/>
      <c r="D30" s="58">
        <v>18</v>
      </c>
      <c r="E30" s="59" t="s">
        <v>192</v>
      </c>
      <c r="G30" s="7"/>
      <c r="H30" s="7" t="s">
        <v>215</v>
      </c>
      <c r="I30" s="27"/>
      <c r="L30" s="6"/>
    </row>
    <row r="31" spans="2:22" x14ac:dyDescent="0.2">
      <c r="B31" s="149" t="s">
        <v>167</v>
      </c>
      <c r="C31" s="145"/>
      <c r="D31" s="260">
        <v>1</v>
      </c>
      <c r="E31" s="59" t="s">
        <v>23</v>
      </c>
      <c r="G31" s="7"/>
      <c r="H31" s="7" t="s">
        <v>215</v>
      </c>
      <c r="I31" s="27"/>
      <c r="L31" s="6"/>
    </row>
    <row r="32" spans="2:22" x14ac:dyDescent="0.2">
      <c r="B32" s="57" t="s">
        <v>101</v>
      </c>
      <c r="C32" s="145"/>
      <c r="D32" s="58">
        <v>17850</v>
      </c>
      <c r="E32" s="59" t="s">
        <v>13</v>
      </c>
      <c r="G32" s="7"/>
      <c r="H32" s="7" t="s">
        <v>287</v>
      </c>
      <c r="L32" s="6"/>
    </row>
    <row r="33" spans="2:13" x14ac:dyDescent="0.2">
      <c r="B33" s="57" t="s">
        <v>68</v>
      </c>
      <c r="C33" s="145"/>
      <c r="D33" s="58">
        <f>260*1.04*1.04</f>
        <v>281.21600000000007</v>
      </c>
      <c r="E33" s="59" t="s">
        <v>69</v>
      </c>
      <c r="G33" s="7"/>
      <c r="H33" s="7" t="s">
        <v>234</v>
      </c>
      <c r="L33" s="6"/>
    </row>
    <row r="34" spans="2:13" x14ac:dyDescent="0.2">
      <c r="B34" s="57" t="s">
        <v>70</v>
      </c>
      <c r="C34" s="145"/>
      <c r="D34" s="58">
        <f>7000*1.04*1.04</f>
        <v>7571.2</v>
      </c>
      <c r="E34" s="59" t="s">
        <v>71</v>
      </c>
      <c r="G34" s="7"/>
      <c r="H34" s="7" t="s">
        <v>233</v>
      </c>
      <c r="L34" s="6"/>
    </row>
    <row r="35" spans="2:13" x14ac:dyDescent="0.2">
      <c r="B35" s="167" t="s">
        <v>64</v>
      </c>
      <c r="C35" s="145"/>
      <c r="D35" s="260">
        <f>6.06*1.04*1.04</f>
        <v>6.5544959999999994</v>
      </c>
      <c r="E35" s="59" t="s">
        <v>33</v>
      </c>
      <c r="G35" s="8"/>
      <c r="H35" s="7" t="s">
        <v>235</v>
      </c>
    </row>
    <row r="36" spans="2:13" ht="13.5" thickBot="1" x14ac:dyDescent="0.25">
      <c r="B36" s="444"/>
      <c r="C36" s="445"/>
      <c r="D36" s="445"/>
      <c r="E36" s="446"/>
      <c r="G36" s="8"/>
      <c r="H36" s="7"/>
    </row>
    <row r="37" spans="2:13" x14ac:dyDescent="0.2">
      <c r="B37" s="417" t="s">
        <v>15</v>
      </c>
      <c r="C37" s="418"/>
      <c r="D37" s="418"/>
      <c r="E37" s="419"/>
      <c r="L37" s="6"/>
    </row>
    <row r="38" spans="2:13" ht="13.5" thickBot="1" x14ac:dyDescent="0.25">
      <c r="B38" s="426"/>
      <c r="C38" s="427"/>
      <c r="D38" s="427"/>
      <c r="E38" s="428"/>
      <c r="L38" s="6"/>
    </row>
    <row r="39" spans="2:13" x14ac:dyDescent="0.2">
      <c r="B39" s="415"/>
      <c r="C39" s="415"/>
      <c r="D39" s="416"/>
      <c r="E39" s="416"/>
      <c r="L39" s="6"/>
    </row>
    <row r="40" spans="2:13" x14ac:dyDescent="0.2">
      <c r="B40" s="413"/>
      <c r="C40" s="413"/>
      <c r="D40" s="414"/>
      <c r="E40" s="414"/>
      <c r="L40" s="6"/>
    </row>
    <row r="41" spans="2:13" x14ac:dyDescent="0.2">
      <c r="M41" s="9"/>
    </row>
    <row r="42" spans="2:13" ht="42" customHeight="1" x14ac:dyDescent="0.2">
      <c r="M42" s="6"/>
    </row>
    <row r="43" spans="2:13" ht="30" customHeight="1" x14ac:dyDescent="0.2">
      <c r="M43" s="6"/>
    </row>
    <row r="44" spans="2:13" ht="7.5" customHeight="1" x14ac:dyDescent="0.2">
      <c r="L44" s="6"/>
    </row>
    <row r="46" spans="2:13" x14ac:dyDescent="0.2">
      <c r="L46" s="6"/>
    </row>
    <row r="49" spans="12:12" x14ac:dyDescent="0.2">
      <c r="L49" s="6"/>
    </row>
    <row r="51" spans="12:12" x14ac:dyDescent="0.2">
      <c r="L51" s="6"/>
    </row>
    <row r="52" spans="12:12" x14ac:dyDescent="0.2">
      <c r="L52" s="6"/>
    </row>
    <row r="53" spans="12:12" x14ac:dyDescent="0.2">
      <c r="L53" s="6"/>
    </row>
    <row r="54" spans="12:12" x14ac:dyDescent="0.2">
      <c r="L54" s="6"/>
    </row>
    <row r="55" spans="12:12" x14ac:dyDescent="0.2">
      <c r="L55" s="6"/>
    </row>
    <row r="56" spans="12:12" x14ac:dyDescent="0.2">
      <c r="L56" s="6"/>
    </row>
    <row r="57" spans="12:12" x14ac:dyDescent="0.2">
      <c r="L57" s="6"/>
    </row>
    <row r="58" spans="12:12" x14ac:dyDescent="0.2">
      <c r="L58" s="6"/>
    </row>
    <row r="60" spans="12:12" x14ac:dyDescent="0.2">
      <c r="L60" s="2"/>
    </row>
    <row r="61" spans="12:12" x14ac:dyDescent="0.2">
      <c r="L61" s="6"/>
    </row>
    <row r="62" spans="12:12" x14ac:dyDescent="0.2">
      <c r="L62" s="6"/>
    </row>
    <row r="63" spans="12:12" x14ac:dyDescent="0.2">
      <c r="L63" s="6"/>
    </row>
  </sheetData>
  <mergeCells count="11">
    <mergeCell ref="B26:E26"/>
    <mergeCell ref="B37:E37"/>
    <mergeCell ref="B38:E38"/>
    <mergeCell ref="B39:E39"/>
    <mergeCell ref="B40:E40"/>
    <mergeCell ref="B22:E22"/>
    <mergeCell ref="B1:E1"/>
    <mergeCell ref="B2:E2"/>
    <mergeCell ref="B3:E3"/>
    <mergeCell ref="B5:E5"/>
    <mergeCell ref="B14:E14"/>
  </mergeCells>
  <printOptions horizontalCentered="1"/>
  <pageMargins left="0.23622047244094491" right="0.23622047244094491" top="0.59055118110236227" bottom="0.59055118110236227" header="0.31496062992125984" footer="0.31496062992125984"/>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election activeCell="B38" sqref="B38"/>
    </sheetView>
  </sheetViews>
  <sheetFormatPr defaultRowHeight="12.75" x14ac:dyDescent="0.2"/>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B38" sqref="B38"/>
    </sheetView>
  </sheetViews>
  <sheetFormatPr defaultRowHeight="12.75" x14ac:dyDescent="0.2"/>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Policy Auditing</Name>
    <Synchronization>Synchronous</Synchronization>
    <Type>10001</Type>
    <SequenceNumber>1100</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Version=15.0.0.0, Culture=neutral, PublicKeyToken=71e9bce111e9429c</Assembly>
    <Class>Microsoft.Office.RecordsManagement.Internal.AuditHandler</Class>
    <Data/>
    <Filter/>
  </Receiver>
</spe:Receivers>
</file>

<file path=customXml/item2.xml><?xml version="1.0" encoding="utf-8"?>
<?mso-contentType ?>
<p:Policy xmlns:p="office.server.policy" id="" local="true">
  <p:Name>Document</p:Name>
  <p:Description>Includes enabling auditing.</p:Description>
  <p:Statement/>
  <p:PolicyItems>
    <p:PolicyItem featureId="Microsoft.Office.RecordsManagement.PolicyFeatures.PolicyAudit" staticId="0x0101|1757814118" UniqueId="24c6ca8a-803b-4e57-b30a-bd49537e480f">
      <p:Name>Auditing</p:Name>
      <p:Description>Audits user actions on documents and list items to the Audit Log.</p:Description>
      <p:CustomData>
        <Audit>
          <Update/>
          <CheckInOut/>
          <MoveCopy/>
          <DeleteRestore/>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ct:contentTypeSchema xmlns:ct="http://schemas.microsoft.com/office/2006/metadata/contentType" xmlns:ma="http://schemas.microsoft.com/office/2006/metadata/properties/metaAttributes" ct:_="" ma:_="" ma:contentTypeName="Word Doc" ma:contentTypeID="0x01010033F55EBDEFA2C743BC50A609CB0E6639" ma:contentTypeVersion="10" ma:contentTypeDescription="" ma:contentTypeScope="" ma:versionID="e4caf341944bdbb317ddb16c4fcc2be3">
  <xsd:schema xmlns:xsd="http://www.w3.org/2001/XMLSchema" xmlns:xs="http://www.w3.org/2001/XMLSchema" xmlns:p="http://schemas.microsoft.com/office/2006/metadata/properties" xmlns:ns1="http://schemas.microsoft.com/sharepoint/v3" xmlns:ns2="e21bdacc-4293-4559-8a7c-df4af8f292b3" targetNamespace="http://schemas.microsoft.com/office/2006/metadata/properties" ma:root="true" ma:fieldsID="78cd54cd73ef136d85681281aacc44bf" ns1:_="" ns2:_="">
    <xsd:import namespace="http://schemas.microsoft.com/sharepoint/v3"/>
    <xsd:import namespace="e21bdacc-4293-4559-8a7c-df4af8f292b3"/>
    <xsd:element name="properties">
      <xsd:complexType>
        <xsd:sequence>
          <xsd:element name="documentManagement">
            <xsd:complexType>
              <xsd:all>
                <xsd:element ref="ns1:_dlc_Exempt"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21bdacc-4293-4559-8a7c-df4af8f292b3"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33E47F-C0CE-40AD-A0F8-8279766F165A}">
  <ds:schemaRefs>
    <ds:schemaRef ds:uri="http://schemas.microsoft.com/sharepoint/events"/>
  </ds:schemaRefs>
</ds:datastoreItem>
</file>

<file path=customXml/itemProps2.xml><?xml version="1.0" encoding="utf-8"?>
<ds:datastoreItem xmlns:ds="http://schemas.openxmlformats.org/officeDocument/2006/customXml" ds:itemID="{79265D32-30D9-4B83-ACF2-FEB502B5B1F5}">
  <ds:schemaRefs>
    <ds:schemaRef ds:uri="office.server.policy"/>
  </ds:schemaRefs>
</ds:datastoreItem>
</file>

<file path=customXml/itemProps3.xml><?xml version="1.0" encoding="utf-8"?>
<ds:datastoreItem xmlns:ds="http://schemas.openxmlformats.org/officeDocument/2006/customXml" ds:itemID="{3086C47B-B198-4DB9-A845-35386100E858}">
  <ds:schemaRefs>
    <ds:schemaRef ds:uri="http://schemas.microsoft.com/sharepoint/v3/contenttype/forms"/>
  </ds:schemaRefs>
</ds:datastoreItem>
</file>

<file path=customXml/itemProps4.xml><?xml version="1.0" encoding="utf-8"?>
<ds:datastoreItem xmlns:ds="http://schemas.openxmlformats.org/officeDocument/2006/customXml" ds:itemID="{221046A2-2FF7-4A6E-BAC8-885898DFD68C}">
  <ds:schemaRefs>
    <ds:schemaRef ds:uri="http://purl.org/dc/terms/"/>
    <ds:schemaRef ds:uri="http://schemas.openxmlformats.org/package/2006/metadata/core-properties"/>
    <ds:schemaRef ds:uri="http://schemas.microsoft.com/sharepoint/v3"/>
    <ds:schemaRef ds:uri="http://www.w3.org/XML/1998/namespace"/>
    <ds:schemaRef ds:uri="http://purl.org/dc/elements/1.1/"/>
    <ds:schemaRef ds:uri="http://schemas.microsoft.com/office/2006/documentManagement/types"/>
    <ds:schemaRef ds:uri="e21bdacc-4293-4559-8a7c-df4af8f292b3"/>
    <ds:schemaRef ds:uri="http://schemas.microsoft.com/office/infopath/2007/PartnerControls"/>
    <ds:schemaRef ds:uri="http://schemas.microsoft.com/office/2006/metadata/properties"/>
    <ds:schemaRef ds:uri="http://purl.org/dc/dcmitype/"/>
  </ds:schemaRefs>
</ds:datastoreItem>
</file>

<file path=customXml/itemProps5.xml><?xml version="1.0" encoding="utf-8"?>
<ds:datastoreItem xmlns:ds="http://schemas.openxmlformats.org/officeDocument/2006/customXml" ds:itemID="{96765B0E-307D-47FB-AF32-6B5598225F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21bdacc-4293-4559-8a7c-df4af8f292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T1 Summary</vt:lpstr>
      <vt:lpstr>T2 Cost Estimate Details</vt:lpstr>
      <vt:lpstr>T3 Monit&amp;Report Details</vt:lpstr>
      <vt:lpstr>T4 Eqpmnt &amp; Labour Rates</vt:lpstr>
      <vt:lpstr>T5 Task Unit Costs</vt:lpstr>
      <vt:lpstr>Sheet1</vt:lpstr>
      <vt:lpstr>Sheet2</vt:lpstr>
      <vt:lpstr>'T5 Task Unit Costs'!Prices</vt:lpstr>
      <vt:lpstr>Prices</vt:lpstr>
      <vt:lpstr>'T1 Summary'!Print_Area</vt:lpstr>
      <vt:lpstr>'T2 Cost Estimate Details'!Print_Area</vt:lpstr>
      <vt:lpstr>'T3 Monit&amp;Report Details'!Print_Area</vt:lpstr>
      <vt:lpstr>'T4 Eqpmnt &amp; Labour Rates'!Print_Area</vt:lpstr>
      <vt:lpstr>'T5 Task Unit Costs'!Print_Area</vt:lpstr>
      <vt:lpstr>'T2 Cost Estimate Details'!Print_Titles</vt:lpstr>
      <vt:lpstr>'T3 Monit&amp;Report Details'!Print_Titles</vt:lpstr>
      <vt:lpstr>'T5 Task Unit Costs'!UnitCost</vt:lpstr>
      <vt:lpstr>UnitCost</vt:lpstr>
    </vt:vector>
  </TitlesOfParts>
  <Manager>Scott Keesey;</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Phase V/VI Closure Costing Estimate</dc:title>
  <dc:subject>Phase V/VI Closure Costing Estimate</dc:subject>
  <dc:creator>sjci@telus.net</dc:creator>
  <cp:lastModifiedBy>Steve Januszewski</cp:lastModifiedBy>
  <cp:lastPrinted>2025-03-09T21:00:22Z</cp:lastPrinted>
  <dcterms:created xsi:type="dcterms:W3CDTF">1999-07-30T23:22:21Z</dcterms:created>
  <dcterms:modified xsi:type="dcterms:W3CDTF">2025-03-10T01:16:41Z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iews">
    <vt:lpwstr>Reports</vt:lpwstr>
  </property>
  <property fmtid="{D5CDD505-2E9C-101B-9397-08002B2CF9AE}" pid="3" name="Data Type">
    <vt:lpwstr>Table</vt:lpwstr>
  </property>
  <property fmtid="{D5CDD505-2E9C-101B-9397-08002B2CF9AE}" pid="4" name="Test Type">
    <vt:lpwstr/>
  </property>
  <property fmtid="{D5CDD505-2E9C-101B-9397-08002B2CF9AE}" pid="5" name="Status">
    <vt:lpwstr>Issued for Use</vt:lpwstr>
  </property>
  <property fmtid="{D5CDD505-2E9C-101B-9397-08002B2CF9AE}" pid="6" name="Issued">
    <vt:lpwstr/>
  </property>
  <property fmtid="{D5CDD505-2E9C-101B-9397-08002B2CF9AE}" pid="7" name="Location">
    <vt:lpwstr/>
  </property>
  <property fmtid="{D5CDD505-2E9C-101B-9397-08002B2CF9AE}" pid="8" name="Flag for Review">
    <vt:lpwstr>0</vt:lpwstr>
  </property>
  <property fmtid="{D5CDD505-2E9C-101B-9397-08002B2CF9AE}" pid="9" name="ContentTypeId">
    <vt:lpwstr>0x01010033F55EBDEFA2C743BC50A609CB0E6639</vt:lpwstr>
  </property>
</Properties>
</file>