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wyman\Desktop\"/>
    </mc:Choice>
  </mc:AlternateContent>
  <bookViews>
    <workbookView xWindow="0" yWindow="0" windowWidth="28800" windowHeight="14175"/>
  </bookViews>
  <sheets>
    <sheet name="Results" sheetId="1" r:id="rId1"/>
    <sheet name="Columns B to F vlookup table" sheetId="5" state="hidden" r:id="rId2"/>
  </sheets>
  <definedNames>
    <definedName name="_xlnm._FilterDatabase" localSheetId="0" hidden="1">Results!$A$1:$AC$200</definedName>
    <definedName name="Berm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1" l="1"/>
  <c r="Y122" i="1" l="1"/>
  <c r="Y121" i="1" l="1"/>
  <c r="C119" i="1" l="1"/>
  <c r="Y111" i="1" l="1"/>
  <c r="AC73" i="1" l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72" i="1"/>
  <c r="Y109" i="1" l="1"/>
  <c r="Y105" i="1" l="1"/>
  <c r="Y104" i="1" l="1"/>
  <c r="Y103" i="1"/>
  <c r="V104" i="1" l="1"/>
  <c r="S100" i="1" l="1"/>
  <c r="S99" i="1" l="1"/>
  <c r="S98" i="1"/>
  <c r="N19" i="5" l="1"/>
  <c r="M19" i="5"/>
  <c r="P19" i="5" s="1"/>
  <c r="N18" i="5"/>
  <c r="M18" i="5"/>
  <c r="O16" i="5"/>
  <c r="P16" i="5" s="1"/>
  <c r="N16" i="5"/>
  <c r="M16" i="5"/>
  <c r="N15" i="5"/>
  <c r="M15" i="5"/>
  <c r="N14" i="5"/>
  <c r="P14" i="5" s="1"/>
  <c r="M14" i="5"/>
  <c r="O13" i="5"/>
  <c r="O12" i="5"/>
  <c r="P12" i="5" s="1"/>
  <c r="O11" i="5"/>
  <c r="P11" i="5" s="1"/>
  <c r="O10" i="5"/>
  <c r="K10" i="5"/>
  <c r="P10" i="5" s="1"/>
  <c r="O9" i="5"/>
  <c r="K9" i="5"/>
  <c r="L8" i="5"/>
  <c r="N8" i="5" s="1"/>
  <c r="K8" i="5"/>
  <c r="M8" i="5" s="1"/>
  <c r="O7" i="5"/>
  <c r="N7" i="5"/>
  <c r="M7" i="5"/>
  <c r="L7" i="5"/>
  <c r="K7" i="5"/>
  <c r="P4" i="5"/>
  <c r="P5" i="5"/>
  <c r="P6" i="5"/>
  <c r="P9" i="5"/>
  <c r="P13" i="5"/>
  <c r="P18" i="5"/>
  <c r="P7" i="5" l="1"/>
  <c r="P15" i="5"/>
  <c r="Q15" i="5" s="1"/>
  <c r="P8" i="5"/>
  <c r="Q8" i="5" s="1"/>
  <c r="Q19" i="5"/>
  <c r="Q18" i="5"/>
  <c r="Q16" i="5"/>
  <c r="Q14" i="5"/>
  <c r="Q13" i="5"/>
  <c r="Q12" i="5"/>
  <c r="Q11" i="5"/>
  <c r="Q10" i="5"/>
  <c r="Q9" i="5"/>
  <c r="Q7" i="5"/>
  <c r="Q6" i="5"/>
  <c r="Q5" i="5"/>
  <c r="Q4" i="5"/>
  <c r="B190" i="1" l="1"/>
  <c r="C190" i="1"/>
  <c r="D190" i="1"/>
  <c r="E190" i="1"/>
  <c r="F190" i="1"/>
  <c r="B191" i="1"/>
  <c r="C191" i="1"/>
  <c r="D191" i="1"/>
  <c r="E191" i="1"/>
  <c r="F191" i="1"/>
  <c r="B192" i="1"/>
  <c r="C192" i="1"/>
  <c r="D192" i="1"/>
  <c r="E192" i="1"/>
  <c r="F192" i="1"/>
  <c r="B193" i="1"/>
  <c r="C193" i="1"/>
  <c r="D193" i="1"/>
  <c r="E193" i="1"/>
  <c r="F193" i="1"/>
  <c r="B194" i="1"/>
  <c r="C194" i="1"/>
  <c r="D194" i="1"/>
  <c r="E194" i="1"/>
  <c r="F194" i="1"/>
  <c r="B195" i="1"/>
  <c r="C195" i="1"/>
  <c r="D195" i="1"/>
  <c r="E195" i="1"/>
  <c r="F195" i="1"/>
  <c r="B196" i="1"/>
  <c r="C196" i="1"/>
  <c r="D196" i="1"/>
  <c r="E196" i="1"/>
  <c r="F196" i="1"/>
  <c r="B197" i="1"/>
  <c r="C197" i="1"/>
  <c r="D197" i="1"/>
  <c r="E197" i="1"/>
  <c r="F197" i="1"/>
  <c r="B198" i="1"/>
  <c r="C198" i="1"/>
  <c r="D198" i="1"/>
  <c r="E198" i="1"/>
  <c r="F198" i="1"/>
  <c r="B199" i="1"/>
  <c r="C199" i="1"/>
  <c r="D199" i="1"/>
  <c r="E199" i="1"/>
  <c r="F199" i="1"/>
  <c r="B200" i="1"/>
  <c r="C200" i="1"/>
  <c r="D200" i="1"/>
  <c r="E200" i="1"/>
  <c r="F200" i="1"/>
  <c r="B3" i="1"/>
  <c r="D3" i="1"/>
  <c r="E3" i="1"/>
  <c r="F3" i="1"/>
  <c r="B4" i="1"/>
  <c r="D4" i="1"/>
  <c r="E4" i="1"/>
  <c r="F4" i="1"/>
  <c r="B5" i="1"/>
  <c r="D5" i="1"/>
  <c r="E5" i="1"/>
  <c r="F5" i="1"/>
  <c r="B6" i="1"/>
  <c r="D6" i="1"/>
  <c r="E6" i="1"/>
  <c r="F6" i="1"/>
  <c r="B7" i="1"/>
  <c r="D7" i="1"/>
  <c r="E7" i="1"/>
  <c r="F7" i="1"/>
  <c r="B8" i="1"/>
  <c r="D8" i="1"/>
  <c r="E8" i="1"/>
  <c r="F8" i="1"/>
  <c r="B9" i="1"/>
  <c r="D9" i="1"/>
  <c r="E9" i="1"/>
  <c r="F9" i="1"/>
  <c r="B10" i="1"/>
  <c r="D10" i="1"/>
  <c r="E10" i="1"/>
  <c r="F10" i="1"/>
  <c r="B11" i="1"/>
  <c r="D11" i="1"/>
  <c r="E11" i="1"/>
  <c r="F11" i="1"/>
  <c r="B12" i="1"/>
  <c r="D12" i="1"/>
  <c r="E12" i="1"/>
  <c r="F12" i="1"/>
  <c r="B13" i="1"/>
  <c r="D13" i="1"/>
  <c r="E13" i="1"/>
  <c r="F13" i="1"/>
  <c r="B14" i="1"/>
  <c r="D14" i="1"/>
  <c r="E14" i="1"/>
  <c r="F14" i="1"/>
  <c r="B15" i="1"/>
  <c r="D15" i="1"/>
  <c r="E15" i="1"/>
  <c r="F15" i="1"/>
  <c r="B16" i="1"/>
  <c r="D16" i="1"/>
  <c r="E16" i="1"/>
  <c r="F16" i="1"/>
  <c r="B17" i="1"/>
  <c r="D17" i="1"/>
  <c r="E17" i="1"/>
  <c r="F17" i="1"/>
  <c r="B18" i="1"/>
  <c r="D18" i="1"/>
  <c r="E18" i="1"/>
  <c r="F18" i="1"/>
  <c r="B19" i="1"/>
  <c r="D19" i="1"/>
  <c r="E19" i="1"/>
  <c r="F19" i="1"/>
  <c r="B20" i="1"/>
  <c r="D20" i="1"/>
  <c r="E20" i="1"/>
  <c r="F20" i="1"/>
  <c r="B21" i="1"/>
  <c r="D21" i="1"/>
  <c r="E21" i="1"/>
  <c r="F21" i="1"/>
  <c r="B22" i="1"/>
  <c r="D22" i="1"/>
  <c r="E22" i="1"/>
  <c r="F22" i="1"/>
  <c r="B23" i="1"/>
  <c r="D23" i="1"/>
  <c r="E23" i="1"/>
  <c r="F23" i="1"/>
  <c r="B24" i="1"/>
  <c r="D24" i="1"/>
  <c r="E24" i="1"/>
  <c r="F24" i="1"/>
  <c r="B25" i="1"/>
  <c r="D25" i="1"/>
  <c r="E25" i="1"/>
  <c r="F25" i="1"/>
  <c r="B26" i="1"/>
  <c r="D26" i="1"/>
  <c r="E26" i="1"/>
  <c r="F26" i="1"/>
  <c r="B27" i="1"/>
  <c r="D27" i="1"/>
  <c r="E27" i="1"/>
  <c r="F27" i="1"/>
  <c r="B28" i="1"/>
  <c r="D28" i="1"/>
  <c r="E28" i="1"/>
  <c r="F28" i="1"/>
  <c r="B29" i="1"/>
  <c r="D29" i="1"/>
  <c r="E29" i="1"/>
  <c r="F29" i="1"/>
  <c r="B30" i="1"/>
  <c r="D30" i="1"/>
  <c r="E30" i="1"/>
  <c r="F30" i="1"/>
  <c r="B31" i="1"/>
  <c r="D31" i="1"/>
  <c r="E31" i="1"/>
  <c r="F31" i="1"/>
  <c r="B32" i="1"/>
  <c r="D32" i="1"/>
  <c r="E32" i="1"/>
  <c r="F32" i="1"/>
  <c r="B33" i="1"/>
  <c r="D33" i="1"/>
  <c r="E33" i="1"/>
  <c r="F33" i="1"/>
  <c r="B34" i="1"/>
  <c r="D34" i="1"/>
  <c r="E34" i="1"/>
  <c r="F34" i="1"/>
  <c r="B35" i="1"/>
  <c r="D35" i="1"/>
  <c r="E35" i="1"/>
  <c r="F35" i="1"/>
  <c r="B36" i="1"/>
  <c r="D36" i="1"/>
  <c r="E36" i="1"/>
  <c r="F36" i="1"/>
  <c r="B37" i="1"/>
  <c r="D37" i="1"/>
  <c r="E37" i="1"/>
  <c r="F37" i="1"/>
  <c r="B38" i="1"/>
  <c r="D38" i="1"/>
  <c r="E38" i="1"/>
  <c r="F38" i="1"/>
  <c r="B39" i="1"/>
  <c r="D39" i="1"/>
  <c r="E39" i="1"/>
  <c r="F39" i="1"/>
  <c r="B40" i="1"/>
  <c r="D40" i="1"/>
  <c r="E40" i="1"/>
  <c r="F40" i="1"/>
  <c r="B41" i="1"/>
  <c r="D41" i="1"/>
  <c r="E41" i="1"/>
  <c r="F41" i="1"/>
  <c r="B42" i="1"/>
  <c r="D42" i="1"/>
  <c r="E42" i="1"/>
  <c r="F42" i="1"/>
  <c r="B43" i="1"/>
  <c r="D43" i="1"/>
  <c r="E43" i="1"/>
  <c r="F43" i="1"/>
  <c r="B44" i="1"/>
  <c r="D44" i="1"/>
  <c r="E44" i="1"/>
  <c r="F44" i="1"/>
  <c r="B45" i="1"/>
  <c r="D45" i="1"/>
  <c r="E45" i="1"/>
  <c r="F45" i="1"/>
  <c r="B46" i="1"/>
  <c r="D46" i="1"/>
  <c r="E46" i="1"/>
  <c r="F46" i="1"/>
  <c r="B47" i="1"/>
  <c r="D47" i="1"/>
  <c r="E47" i="1"/>
  <c r="F47" i="1"/>
  <c r="B48" i="1"/>
  <c r="D48" i="1"/>
  <c r="E48" i="1"/>
  <c r="F48" i="1"/>
  <c r="B49" i="1"/>
  <c r="D49" i="1"/>
  <c r="E49" i="1"/>
  <c r="F49" i="1"/>
  <c r="B50" i="1"/>
  <c r="D50" i="1"/>
  <c r="E50" i="1"/>
  <c r="F50" i="1"/>
  <c r="B51" i="1"/>
  <c r="D51" i="1"/>
  <c r="E51" i="1"/>
  <c r="F51" i="1"/>
  <c r="B52" i="1"/>
  <c r="D52" i="1"/>
  <c r="E52" i="1"/>
  <c r="F52" i="1"/>
  <c r="B53" i="1"/>
  <c r="D53" i="1"/>
  <c r="E53" i="1"/>
  <c r="F53" i="1"/>
  <c r="B54" i="1"/>
  <c r="D54" i="1"/>
  <c r="E54" i="1"/>
  <c r="F54" i="1"/>
  <c r="B55" i="1"/>
  <c r="D55" i="1"/>
  <c r="E55" i="1"/>
  <c r="F55" i="1"/>
  <c r="B56" i="1"/>
  <c r="D56" i="1"/>
  <c r="E56" i="1"/>
  <c r="F56" i="1"/>
  <c r="B57" i="1"/>
  <c r="D57" i="1"/>
  <c r="E57" i="1"/>
  <c r="F57" i="1"/>
  <c r="B58" i="1"/>
  <c r="D58" i="1"/>
  <c r="E58" i="1"/>
  <c r="F58" i="1"/>
  <c r="B59" i="1"/>
  <c r="D59" i="1"/>
  <c r="E59" i="1"/>
  <c r="F59" i="1"/>
  <c r="B60" i="1"/>
  <c r="D60" i="1"/>
  <c r="E60" i="1"/>
  <c r="F60" i="1"/>
  <c r="B61" i="1"/>
  <c r="D61" i="1"/>
  <c r="E61" i="1"/>
  <c r="F61" i="1"/>
  <c r="B62" i="1"/>
  <c r="D62" i="1"/>
  <c r="E62" i="1"/>
  <c r="F62" i="1"/>
  <c r="B63" i="1"/>
  <c r="D63" i="1"/>
  <c r="E63" i="1"/>
  <c r="F63" i="1"/>
  <c r="B64" i="1"/>
  <c r="D64" i="1"/>
  <c r="E64" i="1"/>
  <c r="F64" i="1"/>
  <c r="B65" i="1"/>
  <c r="D65" i="1"/>
  <c r="E65" i="1"/>
  <c r="F65" i="1"/>
  <c r="B66" i="1"/>
  <c r="D66" i="1"/>
  <c r="E66" i="1"/>
  <c r="F66" i="1"/>
  <c r="B67" i="1"/>
  <c r="D67" i="1"/>
  <c r="E67" i="1"/>
  <c r="F67" i="1"/>
  <c r="B68" i="1"/>
  <c r="D68" i="1"/>
  <c r="E68" i="1"/>
  <c r="F68" i="1"/>
  <c r="B69" i="1"/>
  <c r="D69" i="1"/>
  <c r="E69" i="1"/>
  <c r="F69" i="1"/>
  <c r="B70" i="1"/>
  <c r="D70" i="1"/>
  <c r="E70" i="1"/>
  <c r="F70" i="1"/>
  <c r="B71" i="1"/>
  <c r="D71" i="1"/>
  <c r="E71" i="1"/>
  <c r="F71" i="1"/>
  <c r="B72" i="1"/>
  <c r="D72" i="1"/>
  <c r="E72" i="1"/>
  <c r="F72" i="1"/>
  <c r="B73" i="1"/>
  <c r="D73" i="1"/>
  <c r="E73" i="1"/>
  <c r="F73" i="1"/>
  <c r="B74" i="1"/>
  <c r="D74" i="1"/>
  <c r="E74" i="1"/>
  <c r="F74" i="1"/>
  <c r="B75" i="1"/>
  <c r="D75" i="1"/>
  <c r="E75" i="1"/>
  <c r="F75" i="1"/>
  <c r="B76" i="1"/>
  <c r="D76" i="1"/>
  <c r="E76" i="1"/>
  <c r="F76" i="1"/>
  <c r="B77" i="1"/>
  <c r="D77" i="1"/>
  <c r="E77" i="1"/>
  <c r="F77" i="1"/>
  <c r="B78" i="1"/>
  <c r="D78" i="1"/>
  <c r="E78" i="1"/>
  <c r="F78" i="1"/>
  <c r="B79" i="1"/>
  <c r="D79" i="1"/>
  <c r="E79" i="1"/>
  <c r="F79" i="1"/>
  <c r="B80" i="1"/>
  <c r="D80" i="1"/>
  <c r="E80" i="1"/>
  <c r="F80" i="1"/>
  <c r="B81" i="1"/>
  <c r="D81" i="1"/>
  <c r="E81" i="1"/>
  <c r="F81" i="1"/>
  <c r="B82" i="1"/>
  <c r="D82" i="1"/>
  <c r="E82" i="1"/>
  <c r="F82" i="1"/>
  <c r="B83" i="1"/>
  <c r="D83" i="1"/>
  <c r="E83" i="1"/>
  <c r="F83" i="1"/>
  <c r="B84" i="1"/>
  <c r="D84" i="1"/>
  <c r="E84" i="1"/>
  <c r="F84" i="1"/>
  <c r="B85" i="1"/>
  <c r="D85" i="1"/>
  <c r="E85" i="1"/>
  <c r="F85" i="1"/>
  <c r="B86" i="1"/>
  <c r="D86" i="1"/>
  <c r="E86" i="1"/>
  <c r="F86" i="1"/>
  <c r="B87" i="1"/>
  <c r="D87" i="1"/>
  <c r="E87" i="1"/>
  <c r="F87" i="1"/>
  <c r="B88" i="1"/>
  <c r="D88" i="1"/>
  <c r="E88" i="1"/>
  <c r="F88" i="1"/>
  <c r="B89" i="1"/>
  <c r="D89" i="1"/>
  <c r="E89" i="1"/>
  <c r="F89" i="1"/>
  <c r="B90" i="1"/>
  <c r="D90" i="1"/>
  <c r="E90" i="1"/>
  <c r="F90" i="1"/>
  <c r="B91" i="1"/>
  <c r="D91" i="1"/>
  <c r="E91" i="1"/>
  <c r="F91" i="1"/>
  <c r="B92" i="1"/>
  <c r="D92" i="1"/>
  <c r="E92" i="1"/>
  <c r="F92" i="1"/>
  <c r="B93" i="1"/>
  <c r="D93" i="1"/>
  <c r="E93" i="1"/>
  <c r="F93" i="1"/>
  <c r="B94" i="1"/>
  <c r="D94" i="1"/>
  <c r="E94" i="1"/>
  <c r="F94" i="1"/>
  <c r="B95" i="1"/>
  <c r="D95" i="1"/>
  <c r="E95" i="1"/>
  <c r="F95" i="1"/>
  <c r="B96" i="1"/>
  <c r="D96" i="1"/>
  <c r="E96" i="1"/>
  <c r="F96" i="1"/>
  <c r="B97" i="1"/>
  <c r="D97" i="1"/>
  <c r="E97" i="1"/>
  <c r="F97" i="1"/>
  <c r="B98" i="1"/>
  <c r="D98" i="1"/>
  <c r="E98" i="1"/>
  <c r="F98" i="1"/>
  <c r="B99" i="1"/>
  <c r="D99" i="1"/>
  <c r="E99" i="1"/>
  <c r="F99" i="1"/>
  <c r="B100" i="1"/>
  <c r="D100" i="1"/>
  <c r="E100" i="1"/>
  <c r="F100" i="1"/>
  <c r="B101" i="1"/>
  <c r="D101" i="1"/>
  <c r="E101" i="1"/>
  <c r="F101" i="1"/>
  <c r="B102" i="1"/>
  <c r="D102" i="1"/>
  <c r="E102" i="1"/>
  <c r="F102" i="1"/>
  <c r="B103" i="1"/>
  <c r="D103" i="1"/>
  <c r="E103" i="1"/>
  <c r="F103" i="1"/>
  <c r="B104" i="1"/>
  <c r="D104" i="1"/>
  <c r="E104" i="1"/>
  <c r="F104" i="1"/>
  <c r="B105" i="1"/>
  <c r="D105" i="1"/>
  <c r="E105" i="1"/>
  <c r="F105" i="1"/>
  <c r="B106" i="1"/>
  <c r="D106" i="1"/>
  <c r="E106" i="1"/>
  <c r="F106" i="1"/>
  <c r="B107" i="1"/>
  <c r="D107" i="1"/>
  <c r="E107" i="1"/>
  <c r="F107" i="1"/>
  <c r="B108" i="1"/>
  <c r="D108" i="1"/>
  <c r="E108" i="1"/>
  <c r="F108" i="1"/>
  <c r="B109" i="1"/>
  <c r="D109" i="1"/>
  <c r="E109" i="1"/>
  <c r="F109" i="1"/>
  <c r="B110" i="1"/>
  <c r="D110" i="1"/>
  <c r="E110" i="1"/>
  <c r="F110" i="1"/>
  <c r="B111" i="1"/>
  <c r="D111" i="1"/>
  <c r="E111" i="1"/>
  <c r="F111" i="1"/>
  <c r="B112" i="1"/>
  <c r="D112" i="1"/>
  <c r="E112" i="1"/>
  <c r="F112" i="1"/>
  <c r="B113" i="1"/>
  <c r="D113" i="1"/>
  <c r="E113" i="1"/>
  <c r="F113" i="1"/>
  <c r="B114" i="1"/>
  <c r="D114" i="1"/>
  <c r="E114" i="1"/>
  <c r="F114" i="1"/>
  <c r="B115" i="1"/>
  <c r="D115" i="1"/>
  <c r="E115" i="1"/>
  <c r="F115" i="1"/>
  <c r="B116" i="1"/>
  <c r="D116" i="1"/>
  <c r="E116" i="1"/>
  <c r="F116" i="1"/>
  <c r="B119" i="1"/>
  <c r="D119" i="1"/>
  <c r="E119" i="1"/>
  <c r="F119" i="1"/>
  <c r="B120" i="1"/>
  <c r="C120" i="1"/>
  <c r="D120" i="1"/>
  <c r="E120" i="1"/>
  <c r="F120" i="1"/>
  <c r="B121" i="1"/>
  <c r="C121" i="1"/>
  <c r="D121" i="1"/>
  <c r="E121" i="1"/>
  <c r="F121" i="1"/>
  <c r="B122" i="1"/>
  <c r="C122" i="1"/>
  <c r="D122" i="1"/>
  <c r="E122" i="1"/>
  <c r="F122" i="1"/>
  <c r="B123" i="1"/>
  <c r="C123" i="1"/>
  <c r="D123" i="1"/>
  <c r="E123" i="1"/>
  <c r="F123" i="1"/>
  <c r="B124" i="1"/>
  <c r="C124" i="1"/>
  <c r="D124" i="1"/>
  <c r="E124" i="1"/>
  <c r="F124" i="1"/>
  <c r="B125" i="1"/>
  <c r="C125" i="1"/>
  <c r="D125" i="1"/>
  <c r="E125" i="1"/>
  <c r="F125" i="1"/>
  <c r="B126" i="1"/>
  <c r="C126" i="1"/>
  <c r="D126" i="1"/>
  <c r="E126" i="1"/>
  <c r="F126" i="1"/>
  <c r="B127" i="1"/>
  <c r="C127" i="1"/>
  <c r="D127" i="1"/>
  <c r="E127" i="1"/>
  <c r="F127" i="1"/>
  <c r="B128" i="1"/>
  <c r="C128" i="1"/>
  <c r="D128" i="1"/>
  <c r="E128" i="1"/>
  <c r="F128" i="1"/>
  <c r="B129" i="1"/>
  <c r="C129" i="1"/>
  <c r="D129" i="1"/>
  <c r="E129" i="1"/>
  <c r="F129" i="1"/>
  <c r="B130" i="1"/>
  <c r="C130" i="1"/>
  <c r="D130" i="1"/>
  <c r="E130" i="1"/>
  <c r="F130" i="1"/>
  <c r="B131" i="1"/>
  <c r="C131" i="1"/>
  <c r="D131" i="1"/>
  <c r="E131" i="1"/>
  <c r="F131" i="1"/>
  <c r="B132" i="1"/>
  <c r="C132" i="1"/>
  <c r="D132" i="1"/>
  <c r="E132" i="1"/>
  <c r="F132" i="1"/>
  <c r="B133" i="1"/>
  <c r="C133" i="1"/>
  <c r="D133" i="1"/>
  <c r="E133" i="1"/>
  <c r="F133" i="1"/>
  <c r="B134" i="1"/>
  <c r="C134" i="1"/>
  <c r="D134" i="1"/>
  <c r="E134" i="1"/>
  <c r="F134" i="1"/>
  <c r="B135" i="1"/>
  <c r="C135" i="1"/>
  <c r="D135" i="1"/>
  <c r="E135" i="1"/>
  <c r="F135" i="1"/>
  <c r="B136" i="1"/>
  <c r="C136" i="1"/>
  <c r="D136" i="1"/>
  <c r="E136" i="1"/>
  <c r="F136" i="1"/>
  <c r="B137" i="1"/>
  <c r="C137" i="1"/>
  <c r="D137" i="1"/>
  <c r="E137" i="1"/>
  <c r="F137" i="1"/>
  <c r="B138" i="1"/>
  <c r="C138" i="1"/>
  <c r="D138" i="1"/>
  <c r="E138" i="1"/>
  <c r="F138" i="1"/>
  <c r="B139" i="1"/>
  <c r="C139" i="1"/>
  <c r="D139" i="1"/>
  <c r="E139" i="1"/>
  <c r="F139" i="1"/>
  <c r="B140" i="1"/>
  <c r="C140" i="1"/>
  <c r="D140" i="1"/>
  <c r="E140" i="1"/>
  <c r="F140" i="1"/>
  <c r="B141" i="1"/>
  <c r="C141" i="1"/>
  <c r="D141" i="1"/>
  <c r="E141" i="1"/>
  <c r="F141" i="1"/>
  <c r="B142" i="1"/>
  <c r="C142" i="1"/>
  <c r="D142" i="1"/>
  <c r="E142" i="1"/>
  <c r="F142" i="1"/>
  <c r="B143" i="1"/>
  <c r="C143" i="1"/>
  <c r="D143" i="1"/>
  <c r="E143" i="1"/>
  <c r="F143" i="1"/>
  <c r="B144" i="1"/>
  <c r="C144" i="1"/>
  <c r="D144" i="1"/>
  <c r="E144" i="1"/>
  <c r="F144" i="1"/>
  <c r="B145" i="1"/>
  <c r="C145" i="1"/>
  <c r="D145" i="1"/>
  <c r="E145" i="1"/>
  <c r="F145" i="1"/>
  <c r="B146" i="1"/>
  <c r="C146" i="1"/>
  <c r="D146" i="1"/>
  <c r="E146" i="1"/>
  <c r="F146" i="1"/>
  <c r="B147" i="1"/>
  <c r="C147" i="1"/>
  <c r="D147" i="1"/>
  <c r="E147" i="1"/>
  <c r="F147" i="1"/>
  <c r="B148" i="1"/>
  <c r="C148" i="1"/>
  <c r="D148" i="1"/>
  <c r="E148" i="1"/>
  <c r="F148" i="1"/>
  <c r="B149" i="1"/>
  <c r="C149" i="1"/>
  <c r="D149" i="1"/>
  <c r="E149" i="1"/>
  <c r="F149" i="1"/>
  <c r="B150" i="1"/>
  <c r="C150" i="1"/>
  <c r="D150" i="1"/>
  <c r="E150" i="1"/>
  <c r="F150" i="1"/>
  <c r="B151" i="1"/>
  <c r="C151" i="1"/>
  <c r="D151" i="1"/>
  <c r="E151" i="1"/>
  <c r="F151" i="1"/>
  <c r="B152" i="1"/>
  <c r="C152" i="1"/>
  <c r="D152" i="1"/>
  <c r="E152" i="1"/>
  <c r="F152" i="1"/>
  <c r="B153" i="1"/>
  <c r="C153" i="1"/>
  <c r="D153" i="1"/>
  <c r="E153" i="1"/>
  <c r="F153" i="1"/>
  <c r="B154" i="1"/>
  <c r="C154" i="1"/>
  <c r="D154" i="1"/>
  <c r="E154" i="1"/>
  <c r="F154" i="1"/>
  <c r="B155" i="1"/>
  <c r="C155" i="1"/>
  <c r="D155" i="1"/>
  <c r="E155" i="1"/>
  <c r="F155" i="1"/>
  <c r="B156" i="1"/>
  <c r="C156" i="1"/>
  <c r="D156" i="1"/>
  <c r="E156" i="1"/>
  <c r="F156" i="1"/>
  <c r="B157" i="1"/>
  <c r="C157" i="1"/>
  <c r="D157" i="1"/>
  <c r="E157" i="1"/>
  <c r="F157" i="1"/>
  <c r="B158" i="1"/>
  <c r="C158" i="1"/>
  <c r="D158" i="1"/>
  <c r="E158" i="1"/>
  <c r="F158" i="1"/>
  <c r="B159" i="1"/>
  <c r="C159" i="1"/>
  <c r="D159" i="1"/>
  <c r="E159" i="1"/>
  <c r="F159" i="1"/>
  <c r="B160" i="1"/>
  <c r="C160" i="1"/>
  <c r="D160" i="1"/>
  <c r="E160" i="1"/>
  <c r="F160" i="1"/>
  <c r="B161" i="1"/>
  <c r="C161" i="1"/>
  <c r="D161" i="1"/>
  <c r="E161" i="1"/>
  <c r="F161" i="1"/>
  <c r="B162" i="1"/>
  <c r="C162" i="1"/>
  <c r="D162" i="1"/>
  <c r="E162" i="1"/>
  <c r="F162" i="1"/>
  <c r="B163" i="1"/>
  <c r="C163" i="1"/>
  <c r="D163" i="1"/>
  <c r="E163" i="1"/>
  <c r="F163" i="1"/>
  <c r="B164" i="1"/>
  <c r="C164" i="1"/>
  <c r="D164" i="1"/>
  <c r="E164" i="1"/>
  <c r="F164" i="1"/>
  <c r="B165" i="1"/>
  <c r="C165" i="1"/>
  <c r="D165" i="1"/>
  <c r="E165" i="1"/>
  <c r="F165" i="1"/>
  <c r="B166" i="1"/>
  <c r="C166" i="1"/>
  <c r="D166" i="1"/>
  <c r="E166" i="1"/>
  <c r="F166" i="1"/>
  <c r="B167" i="1"/>
  <c r="C167" i="1"/>
  <c r="D167" i="1"/>
  <c r="E167" i="1"/>
  <c r="F167" i="1"/>
  <c r="B168" i="1"/>
  <c r="C168" i="1"/>
  <c r="D168" i="1"/>
  <c r="E168" i="1"/>
  <c r="F168" i="1"/>
  <c r="B169" i="1"/>
  <c r="C169" i="1"/>
  <c r="D169" i="1"/>
  <c r="E169" i="1"/>
  <c r="F169" i="1"/>
  <c r="B170" i="1"/>
  <c r="C170" i="1"/>
  <c r="D170" i="1"/>
  <c r="E170" i="1"/>
  <c r="F170" i="1"/>
  <c r="B171" i="1"/>
  <c r="C171" i="1"/>
  <c r="D171" i="1"/>
  <c r="E171" i="1"/>
  <c r="F171" i="1"/>
  <c r="B172" i="1"/>
  <c r="C172" i="1"/>
  <c r="D172" i="1"/>
  <c r="E172" i="1"/>
  <c r="F172" i="1"/>
  <c r="B173" i="1"/>
  <c r="C173" i="1"/>
  <c r="D173" i="1"/>
  <c r="E173" i="1"/>
  <c r="F173" i="1"/>
  <c r="B174" i="1"/>
  <c r="C174" i="1"/>
  <c r="D174" i="1"/>
  <c r="E174" i="1"/>
  <c r="F174" i="1"/>
  <c r="B175" i="1"/>
  <c r="C175" i="1"/>
  <c r="D175" i="1"/>
  <c r="E175" i="1"/>
  <c r="F175" i="1"/>
  <c r="B176" i="1"/>
  <c r="C176" i="1"/>
  <c r="D176" i="1"/>
  <c r="E176" i="1"/>
  <c r="F176" i="1"/>
  <c r="B177" i="1"/>
  <c r="C177" i="1"/>
  <c r="D177" i="1"/>
  <c r="E177" i="1"/>
  <c r="F177" i="1"/>
  <c r="B178" i="1"/>
  <c r="C178" i="1"/>
  <c r="D178" i="1"/>
  <c r="E178" i="1"/>
  <c r="F178" i="1"/>
  <c r="B179" i="1"/>
  <c r="C179" i="1"/>
  <c r="D179" i="1"/>
  <c r="E179" i="1"/>
  <c r="F179" i="1"/>
  <c r="B180" i="1"/>
  <c r="C180" i="1"/>
  <c r="D180" i="1"/>
  <c r="E180" i="1"/>
  <c r="F180" i="1"/>
  <c r="B181" i="1"/>
  <c r="C181" i="1"/>
  <c r="D181" i="1"/>
  <c r="E181" i="1"/>
  <c r="F181" i="1"/>
  <c r="B182" i="1"/>
  <c r="C182" i="1"/>
  <c r="D182" i="1"/>
  <c r="E182" i="1"/>
  <c r="F182" i="1"/>
  <c r="B183" i="1"/>
  <c r="C183" i="1"/>
  <c r="D183" i="1"/>
  <c r="E183" i="1"/>
  <c r="F183" i="1"/>
  <c r="B184" i="1"/>
  <c r="C184" i="1"/>
  <c r="D184" i="1"/>
  <c r="E184" i="1"/>
  <c r="F184" i="1"/>
  <c r="B185" i="1"/>
  <c r="C185" i="1"/>
  <c r="D185" i="1"/>
  <c r="E185" i="1"/>
  <c r="F185" i="1"/>
  <c r="B186" i="1"/>
  <c r="C186" i="1"/>
  <c r="D186" i="1"/>
  <c r="E186" i="1"/>
  <c r="F186" i="1"/>
  <c r="B187" i="1"/>
  <c r="C187" i="1"/>
  <c r="D187" i="1"/>
  <c r="E187" i="1"/>
  <c r="F187" i="1"/>
  <c r="B188" i="1"/>
  <c r="C188" i="1"/>
  <c r="D188" i="1"/>
  <c r="E188" i="1"/>
  <c r="F188" i="1"/>
  <c r="B189" i="1"/>
  <c r="C189" i="1"/>
  <c r="D189" i="1"/>
  <c r="E189" i="1"/>
  <c r="F189" i="1"/>
  <c r="F2" i="1"/>
  <c r="E2" i="1"/>
  <c r="D2" i="1"/>
  <c r="B2" i="1"/>
  <c r="Y94" i="1" l="1"/>
  <c r="Y92" i="1"/>
  <c r="Y91" i="1"/>
  <c r="Y90" i="1"/>
  <c r="R90" i="1"/>
  <c r="Y86" i="1"/>
  <c r="Y84" i="1" l="1"/>
  <c r="Y72" i="1" l="1"/>
</calcChain>
</file>

<file path=xl/comments1.xml><?xml version="1.0" encoding="utf-8"?>
<comments xmlns="http://schemas.openxmlformats.org/spreadsheetml/2006/main">
  <authors>
    <author>Wyman,Will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Tanks removed, berm breached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B3 - W22A&amp;B tanks removed and berm breached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B3 - W22A&amp;B tanks removed and berm breached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Tanks removed, berm breached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W22E - No longer a tank in this berm.</t>
        </r>
      </text>
    </comment>
    <comment ref="A44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W22E - No longer a tank in this berm.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B3 - W22A&amp;B tanks removed and berm breached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Tanks removed, berm breached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B3 - W22A&amp;B tanks removed and berm breached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Tanks removed, berm breached</t>
        </r>
      </text>
    </comment>
    <comment ref="A94" authorId="0" shapeId="0">
      <text>
        <r>
          <rPr>
            <b/>
            <sz val="8"/>
            <color indexed="81"/>
            <rFont val="Tahoma"/>
            <family val="2"/>
          </rPr>
          <t>Wyman,Will:</t>
        </r>
        <r>
          <rPr>
            <sz val="8"/>
            <color indexed="81"/>
            <rFont val="Tahoma"/>
            <family val="2"/>
          </rPr>
          <t xml:space="preserve">
The sample ID for this sample was "FM-W20D-C"  this was an error.  There is no such berm at FOX-M.</t>
        </r>
      </text>
    </comment>
    <comment ref="M121" authorId="0" shapeId="0">
      <text>
        <r>
          <rPr>
            <b/>
            <sz val="9"/>
            <color indexed="81"/>
            <rFont val="Tahoma"/>
            <charset val="1"/>
          </rPr>
          <t>Wyman,Will:</t>
        </r>
        <r>
          <rPr>
            <sz val="9"/>
            <color indexed="81"/>
            <rFont val="Tahoma"/>
            <charset val="1"/>
          </rPr>
          <t xml:space="preserve">
Confirmed with Eurofins,
INAC agreed that pH probe and litmus could be used.</t>
        </r>
      </text>
    </comment>
  </commentList>
</comments>
</file>

<file path=xl/comments2.xml><?xml version="1.0" encoding="utf-8"?>
<comments xmlns="http://schemas.openxmlformats.org/spreadsheetml/2006/main">
  <authors>
    <author>Wyman,Will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This column is here so that Vlookup will work.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Excluding the volume of the tanks.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Wyman,Will: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</commentList>
</comments>
</file>

<file path=xl/sharedStrings.xml><?xml version="1.0" encoding="utf-8"?>
<sst xmlns="http://schemas.openxmlformats.org/spreadsheetml/2006/main" count="1981" uniqueCount="147">
  <si>
    <t>Site</t>
  </si>
  <si>
    <t>Berm</t>
  </si>
  <si>
    <t>CAM-M</t>
  </si>
  <si>
    <t>COC#</t>
  </si>
  <si>
    <t>Sample Date</t>
  </si>
  <si>
    <t>FOX-M</t>
  </si>
  <si>
    <t>&lt;0.1</t>
  </si>
  <si>
    <t>&lt;0.2</t>
  </si>
  <si>
    <t>&lt;1</t>
  </si>
  <si>
    <t>&lt;5</t>
  </si>
  <si>
    <t>Report Number (metals - marked with *)</t>
  </si>
  <si>
    <t>Report Number (other)</t>
  </si>
  <si>
    <t>&lt;20</t>
  </si>
  <si>
    <t>&lt;1000</t>
  </si>
  <si>
    <t>&lt;2</t>
  </si>
  <si>
    <t>&lt;40</t>
  </si>
  <si>
    <t>&lt;0.5</t>
  </si>
  <si>
    <t>Licence</t>
  </si>
  <si>
    <t>CAM-3</t>
  </si>
  <si>
    <t>FOX-3</t>
  </si>
  <si>
    <t>DYE-M</t>
  </si>
  <si>
    <t>BAF-3</t>
  </si>
  <si>
    <t>3BC-SHE0919</t>
  </si>
  <si>
    <t>3BC-CAM0919</t>
  </si>
  <si>
    <t>3BC-BAF0919</t>
  </si>
  <si>
    <t>3BC-FOD0919</t>
  </si>
  <si>
    <t>3BC-FOH0919</t>
  </si>
  <si>
    <t>3BC-DYE0919</t>
  </si>
  <si>
    <t>Location on-site</t>
  </si>
  <si>
    <t>N</t>
  </si>
  <si>
    <t>W</t>
  </si>
  <si>
    <t>Summit</t>
  </si>
  <si>
    <t xml:space="preserve"> 66°39'53.59"N</t>
  </si>
  <si>
    <t xml:space="preserve"> 61°21'23.78"W</t>
  </si>
  <si>
    <t xml:space="preserve"> 66°40'0.13"N</t>
  </si>
  <si>
    <t xml:space="preserve"> 61°21'25.76"W</t>
  </si>
  <si>
    <t xml:space="preserve"> 68°37'24.90"N</t>
  </si>
  <si>
    <t>Airstrip</t>
  </si>
  <si>
    <t xml:space="preserve"> 71° 8'5.62"W</t>
  </si>
  <si>
    <t xml:space="preserve"> 68°39'3.67"N</t>
  </si>
  <si>
    <t xml:space="preserve"> 71°13'49.97"W</t>
  </si>
  <si>
    <t xml:space="preserve"> 68°39'5.43"N</t>
  </si>
  <si>
    <t xml:space="preserve"> 71°14'3.23"W</t>
  </si>
  <si>
    <t xml:space="preserve"> 68°45'42.24"N</t>
  </si>
  <si>
    <t xml:space="preserve"> 81°13'25.04"W</t>
  </si>
  <si>
    <t xml:space="preserve"> 68°45'43.00"N</t>
  </si>
  <si>
    <t xml:space="preserve"> 81°13'27.27"W</t>
  </si>
  <si>
    <t xml:space="preserve"> 68°46'15.85"N</t>
  </si>
  <si>
    <t xml:space="preserve"> 81°13'58.33"W</t>
  </si>
  <si>
    <t>Beach</t>
  </si>
  <si>
    <t xml:space="preserve"> 68°46'23.75"N</t>
  </si>
  <si>
    <t xml:space="preserve"> 81°12'46.12"W</t>
  </si>
  <si>
    <t xml:space="preserve"> 68°46'23.93"N</t>
  </si>
  <si>
    <t xml:space="preserve"> 81°12'51.11"W</t>
  </si>
  <si>
    <t xml:space="preserve"> 68°47'42.00"N</t>
  </si>
  <si>
    <t xml:space="preserve"> 93°26'19.58"W</t>
  </si>
  <si>
    <t>SHE W22A</t>
  </si>
  <si>
    <t>SHE W22C&amp;D</t>
  </si>
  <si>
    <t>HAL W20F</t>
  </si>
  <si>
    <t>HAL W20B</t>
  </si>
  <si>
    <t>HAL W20D&amp;E</t>
  </si>
  <si>
    <t>HAL W22B</t>
  </si>
  <si>
    <t>HAL W22A</t>
  </si>
  <si>
    <t>DEW W22C&amp;D</t>
  </si>
  <si>
    <t>DEW W22A&amp;B</t>
  </si>
  <si>
    <t>DEW W20D&amp;E</t>
  </si>
  <si>
    <t>DYE W22K,J,I &amp;W20B</t>
  </si>
  <si>
    <t>DYE W20A</t>
  </si>
  <si>
    <t xml:space="preserve"> 68°48'7.82"N</t>
  </si>
  <si>
    <t xml:space="preserve"> 93°36'50.12"W</t>
  </si>
  <si>
    <t>CAM W22A</t>
  </si>
  <si>
    <t xml:space="preserve"> 69° 7'2.76"N</t>
  </si>
  <si>
    <t>105° 7'2.69"W</t>
  </si>
  <si>
    <t>CAM W20B&amp;C</t>
  </si>
  <si>
    <t>CAM W22C &amp; W20D</t>
  </si>
  <si>
    <t xml:space="preserve"> 69° 6'11.41"N</t>
  </si>
  <si>
    <t>105° 5'50.26"W</t>
  </si>
  <si>
    <t xml:space="preserve"> 69° 6'12.01"N</t>
  </si>
  <si>
    <t>105° 7'36.60"W</t>
  </si>
  <si>
    <t>&lt;50</t>
  </si>
  <si>
    <t>&lt;10</t>
  </si>
  <si>
    <t>&lt;5000</t>
  </si>
  <si>
    <t>&lt;500</t>
  </si>
  <si>
    <t>DEW W22E</t>
  </si>
  <si>
    <t xml:space="preserve"> 68°37'26.59"N</t>
  </si>
  <si>
    <t xml:space="preserve"> 71°8'23.67"W</t>
  </si>
  <si>
    <t>BRE W22A&amp;B</t>
  </si>
  <si>
    <t xml:space="preserve"> 63°20'23.21"N</t>
  </si>
  <si>
    <t xml:space="preserve"> 64° 9'17.92"W</t>
  </si>
  <si>
    <t xml:space="preserve"> 63°19'10.94"N</t>
  </si>
  <si>
    <t xml:space="preserve"> 64° 8'21.22"W</t>
  </si>
  <si>
    <t>BRE W22C&amp;D</t>
  </si>
  <si>
    <t>Copper* (dissolved)
200 ug/L</t>
  </si>
  <si>
    <t>Lead* (dissolved)
50 ug/L</t>
  </si>
  <si>
    <t>Mercury (total)
0.6 ug/L</t>
  </si>
  <si>
    <t>PCB (total)
1000 ug/L</t>
  </si>
  <si>
    <t>Phenols
20 ug/L</t>
  </si>
  <si>
    <t>Zinc (total)
500 ug/L</t>
  </si>
  <si>
    <t>Benzene
370 ug/L</t>
  </si>
  <si>
    <t>Toluene
2 ug/L</t>
  </si>
  <si>
    <t>Ethylbenzene
90 ug/L</t>
  </si>
  <si>
    <t>Approximate Discharge Location
Latitude</t>
  </si>
  <si>
    <t>Approximate Discharge Location
Longitude</t>
  </si>
  <si>
    <t>pH
6 to 9</t>
  </si>
  <si>
    <t>Oil and Grease
5000 ug/L</t>
  </si>
  <si>
    <t>Arsenic (total)
100 ug/L</t>
  </si>
  <si>
    <t>Cadmium* (dissolved)
10 ug/L</t>
  </si>
  <si>
    <t>Chromium* (dissolved)
100 ug/L</t>
  </si>
  <si>
    <t>Cobalt * (dissolved)
50 ug/L</t>
  </si>
  <si>
    <t>Berm Location on-site</t>
  </si>
  <si>
    <t>Coordinates</t>
  </si>
  <si>
    <t>Monitoring Station</t>
  </si>
  <si>
    <t>Geo sort</t>
  </si>
  <si>
    <t>CDL-3</t>
  </si>
  <si>
    <t>SHE-3</t>
  </si>
  <si>
    <t>FOD-3</t>
  </si>
  <si>
    <t>FOH-3</t>
  </si>
  <si>
    <t>DYE-3</t>
  </si>
  <si>
    <t>BAF-4</t>
  </si>
  <si>
    <t>Source</t>
  </si>
  <si>
    <t>a</t>
  </si>
  <si>
    <t>b</t>
  </si>
  <si>
    <t>c</t>
  </si>
  <si>
    <t>d</t>
  </si>
  <si>
    <t>h</t>
  </si>
  <si>
    <t>Volume (L)</t>
  </si>
  <si>
    <t>C25-4-5900-605 01 12MAY98 CAMM N_p01</t>
  </si>
  <si>
    <t>C25-4-5900-607 01 14MAY98 CAMM N_p01</t>
  </si>
  <si>
    <t>C25-4-5900-604 01 13MAY98 CAMM N_p01</t>
  </si>
  <si>
    <t>N/A</t>
  </si>
  <si>
    <t>H-S123/-5900-602</t>
  </si>
  <si>
    <t>H-S123/-5900-601</t>
  </si>
  <si>
    <t>H11-2-5900-604 01 04MAY98 FOXM N_p01</t>
  </si>
  <si>
    <t>H11-2-5900-614 02 10JAN00 FOXM N_p01</t>
  </si>
  <si>
    <t>H11-2-5900-611 01 20APR98 FOXM N_p01</t>
  </si>
  <si>
    <t>D67-2-5900-406 04 16JUN00 FOX3 N_p01</t>
  </si>
  <si>
    <t>D67-2-5900-611 01 01MAR95 FOX3 N_p01</t>
  </si>
  <si>
    <t>D67-2-5900-605 02 01MAR95 FOX3 N_p01</t>
  </si>
  <si>
    <t>C75-2-5900-607 03 27JUN96 DYEM N_p01</t>
  </si>
  <si>
    <t>C75-2-5900-615 05 02JUN96 DYEM N_p01</t>
  </si>
  <si>
    <t>Approximate Volume (m³)</t>
  </si>
  <si>
    <t>Report Date</t>
  </si>
  <si>
    <t>INAC Notified</t>
  </si>
  <si>
    <t>Frozen</t>
  </si>
  <si>
    <t>Days</t>
  </si>
  <si>
    <t>Nickel* (dissolved)
200 ug/L</t>
  </si>
  <si>
    <t>8BC-FOD1828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</si>
</sst>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NumberFormat="1" applyFont="1" applyFill="1" applyBorder="1" applyAlignment="1" applyProtection="1"/>
    <xf numFmtId="0" fontId="0" fillId="2" borderId="0" xfId="0" applyFill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quotePrefix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5" fontId="0" fillId="0" borderId="1" xfId="0" applyNumberForma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quotePrefix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Fill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209550</xdr:colOff>
      <xdr:row>1</xdr:row>
      <xdr:rowOff>104775</xdr:rowOff>
    </xdr:from>
    <xdr:to>
      <xdr:col>25</xdr:col>
      <xdr:colOff>513931</xdr:colOff>
      <xdr:row>10</xdr:row>
      <xdr:rowOff>47418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82700" y="295275"/>
          <a:ext cx="3352381" cy="1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14"/>
  <sheetViews>
    <sheetView tabSelected="1" zoomScaleNormal="100" workbookViewId="0">
      <pane ySplit="1" topLeftCell="A119" activePane="bottomLeft" state="frozen"/>
      <selection pane="bottomLeft" activeCell="N124" sqref="N124:AB124"/>
    </sheetView>
  </sheetViews>
  <sheetFormatPr defaultRowHeight="15" x14ac:dyDescent="0.25"/>
  <cols>
    <col min="1" max="1" width="19.28515625" style="2" bestFit="1" customWidth="1"/>
    <col min="2" max="2" width="7.5703125" style="2" customWidth="1"/>
    <col min="3" max="3" width="13.28515625" style="2" customWidth="1"/>
    <col min="4" max="4" width="10.7109375" style="2" customWidth="1"/>
    <col min="5" max="5" width="13.5703125" style="2" hidden="1" customWidth="1"/>
    <col min="6" max="6" width="14" style="2" hidden="1" customWidth="1"/>
    <col min="7" max="9" width="9.140625" style="2" hidden="1" customWidth="1"/>
    <col min="10" max="10" width="10.140625" style="2" customWidth="1"/>
    <col min="11" max="12" width="10.140625" style="2" hidden="1" customWidth="1"/>
    <col min="13" max="13" width="5.7109375" style="2" customWidth="1"/>
    <col min="14" max="15" width="9.140625" style="2" customWidth="1"/>
    <col min="16" max="16" width="11.5703125" style="2" customWidth="1"/>
    <col min="17" max="17" width="11.42578125" style="2" customWidth="1"/>
    <col min="18" max="18" width="10.5703125" style="2" customWidth="1"/>
    <col min="19" max="19" width="11.28515625" style="2" customWidth="1"/>
    <col min="20" max="20" width="12" style="2" customWidth="1"/>
    <col min="21" max="21" width="9.140625" style="2" customWidth="1"/>
    <col min="22" max="22" width="10.5703125" style="2" customWidth="1"/>
    <col min="23" max="27" width="9.140625" style="2" customWidth="1"/>
    <col min="28" max="28" width="13.140625" style="2" customWidth="1"/>
    <col min="29" max="29" width="9.140625" style="2" hidden="1" customWidth="1"/>
    <col min="30" max="16384" width="9.140625" style="2"/>
  </cols>
  <sheetData>
    <row r="1" spans="1:29" s="1" customFormat="1" ht="75" x14ac:dyDescent="0.25">
      <c r="A1" s="13" t="s">
        <v>1</v>
      </c>
      <c r="B1" s="13" t="s">
        <v>0</v>
      </c>
      <c r="C1" s="13" t="s">
        <v>17</v>
      </c>
      <c r="D1" s="13" t="s">
        <v>28</v>
      </c>
      <c r="E1" s="14" t="s">
        <v>101</v>
      </c>
      <c r="F1" s="14" t="s">
        <v>102</v>
      </c>
      <c r="G1" s="13" t="s">
        <v>10</v>
      </c>
      <c r="H1" s="13" t="s">
        <v>11</v>
      </c>
      <c r="I1" s="13" t="s">
        <v>3</v>
      </c>
      <c r="J1" s="13" t="s">
        <v>4</v>
      </c>
      <c r="K1" s="13" t="s">
        <v>141</v>
      </c>
      <c r="L1" s="13" t="s">
        <v>142</v>
      </c>
      <c r="M1" s="13" t="s">
        <v>103</v>
      </c>
      <c r="N1" s="13" t="s">
        <v>104</v>
      </c>
      <c r="O1" s="13" t="s">
        <v>105</v>
      </c>
      <c r="P1" s="13" t="s">
        <v>106</v>
      </c>
      <c r="Q1" s="13" t="s">
        <v>107</v>
      </c>
      <c r="R1" s="13" t="s">
        <v>108</v>
      </c>
      <c r="S1" s="13" t="s">
        <v>92</v>
      </c>
      <c r="T1" s="13" t="s">
        <v>93</v>
      </c>
      <c r="U1" s="13" t="s">
        <v>94</v>
      </c>
      <c r="V1" s="13" t="s">
        <v>145</v>
      </c>
      <c r="W1" s="15" t="s">
        <v>95</v>
      </c>
      <c r="X1" s="13" t="s">
        <v>96</v>
      </c>
      <c r="Y1" s="13" t="s">
        <v>97</v>
      </c>
      <c r="Z1" s="13" t="s">
        <v>98</v>
      </c>
      <c r="AA1" s="13" t="s">
        <v>99</v>
      </c>
      <c r="AB1" s="13" t="s">
        <v>100</v>
      </c>
      <c r="AC1" s="1" t="s">
        <v>144</v>
      </c>
    </row>
    <row r="2" spans="1:29" x14ac:dyDescent="0.25">
      <c r="A2" s="16" t="s">
        <v>70</v>
      </c>
      <c r="B2" s="17" t="str">
        <f>IFERROR(VLOOKUP(Results!$A2,'Columns B to F vlookup table'!$A$4:$I$21,3,FALSE),"")</f>
        <v>CAM-M</v>
      </c>
      <c r="C2" s="17" t="s">
        <v>23</v>
      </c>
      <c r="D2" s="17" t="str">
        <f>IFERROR(VLOOKUP(Results!$A2,'Columns B to F vlookup table'!$A$4:$I$21,7,FALSE),"")</f>
        <v>Summit</v>
      </c>
      <c r="E2" s="17" t="str">
        <f>IFERROR(VLOOKUP(Results!$A2,'Columns B to F vlookup table'!$A$4:$I$21,8,FALSE),"")</f>
        <v xml:space="preserve"> 69° 7'2.76"N</v>
      </c>
      <c r="F2" s="17" t="str">
        <f>IFERROR(VLOOKUP(Results!$A2,'Columns B to F vlookup table'!$A$4:$I$21,9,FALSE),"")</f>
        <v>105° 7'2.69"W</v>
      </c>
      <c r="G2" s="16"/>
      <c r="H2" s="16"/>
      <c r="I2" s="16"/>
      <c r="J2" s="18">
        <v>40343</v>
      </c>
      <c r="K2" s="18"/>
      <c r="L2" s="18"/>
      <c r="M2" s="16">
        <v>7.81</v>
      </c>
      <c r="N2" s="16">
        <v>2000</v>
      </c>
      <c r="O2" s="16" t="s">
        <v>79</v>
      </c>
      <c r="P2" s="16" t="s">
        <v>6</v>
      </c>
      <c r="Q2" s="16">
        <v>2</v>
      </c>
      <c r="R2" s="16" t="s">
        <v>7</v>
      </c>
      <c r="S2" s="16">
        <v>8</v>
      </c>
      <c r="T2" s="16" t="s">
        <v>8</v>
      </c>
      <c r="U2" s="16" t="s">
        <v>6</v>
      </c>
      <c r="V2" s="16" t="s">
        <v>9</v>
      </c>
      <c r="W2" s="19" t="s">
        <v>6</v>
      </c>
      <c r="X2" s="16" t="s">
        <v>8</v>
      </c>
      <c r="Y2" s="16">
        <v>90</v>
      </c>
      <c r="Z2" s="16" t="s">
        <v>16</v>
      </c>
      <c r="AA2" s="16" t="s">
        <v>16</v>
      </c>
      <c r="AB2" s="16" t="s">
        <v>16</v>
      </c>
    </row>
    <row r="3" spans="1:29" x14ac:dyDescent="0.25">
      <c r="A3" s="16" t="s">
        <v>73</v>
      </c>
      <c r="B3" s="17" t="str">
        <f>IFERROR(VLOOKUP(Results!$A3,'Columns B to F vlookup table'!$A$4:$I$21,3,FALSE),"")</f>
        <v>CAM-M</v>
      </c>
      <c r="C3" s="17" t="s">
        <v>23</v>
      </c>
      <c r="D3" s="17" t="str">
        <f>IFERROR(VLOOKUP(Results!$A3,'Columns B to F vlookup table'!$A$4:$I$21,7,FALSE),"")</f>
        <v>Airstrip</v>
      </c>
      <c r="E3" s="17" t="str">
        <f>IFERROR(VLOOKUP(Results!$A3,'Columns B to F vlookup table'!$A$4:$I$21,8,FALSE),"")</f>
        <v xml:space="preserve"> 69° 6'12.01"N</v>
      </c>
      <c r="F3" s="17" t="str">
        <f>IFERROR(VLOOKUP(Results!$A3,'Columns B to F vlookup table'!$A$4:$I$21,9,FALSE),"")</f>
        <v>105° 7'36.60"W</v>
      </c>
      <c r="G3" s="16"/>
      <c r="H3" s="16"/>
      <c r="I3" s="16"/>
      <c r="J3" s="18">
        <v>40343</v>
      </c>
      <c r="K3" s="18"/>
      <c r="L3" s="18"/>
      <c r="M3" s="16">
        <v>7.52</v>
      </c>
      <c r="N3" s="16" t="s">
        <v>13</v>
      </c>
      <c r="O3" s="16" t="s">
        <v>79</v>
      </c>
      <c r="P3" s="16" t="s">
        <v>6</v>
      </c>
      <c r="Q3" s="16">
        <v>1</v>
      </c>
      <c r="R3" s="16">
        <v>3</v>
      </c>
      <c r="S3" s="16">
        <v>5</v>
      </c>
      <c r="T3" s="16" t="s">
        <v>8</v>
      </c>
      <c r="U3" s="16" t="s">
        <v>6</v>
      </c>
      <c r="V3" s="16" t="s">
        <v>9</v>
      </c>
      <c r="W3" s="19" t="s">
        <v>6</v>
      </c>
      <c r="X3" s="16" t="s">
        <v>8</v>
      </c>
      <c r="Y3" s="16">
        <v>180</v>
      </c>
      <c r="Z3" s="16" t="s">
        <v>16</v>
      </c>
      <c r="AA3" s="16" t="s">
        <v>16</v>
      </c>
      <c r="AB3" s="16" t="s">
        <v>16</v>
      </c>
    </row>
    <row r="4" spans="1:29" x14ac:dyDescent="0.25">
      <c r="A4" s="16" t="s">
        <v>74</v>
      </c>
      <c r="B4" s="17" t="str">
        <f>IFERROR(VLOOKUP(Results!$A4,'Columns B to F vlookup table'!$A$4:$I$21,3,FALSE),"")</f>
        <v>CAM-M</v>
      </c>
      <c r="C4" s="17" t="s">
        <v>23</v>
      </c>
      <c r="D4" s="17" t="str">
        <f>IFERROR(VLOOKUP(Results!$A4,'Columns B to F vlookup table'!$A$4:$I$21,7,FALSE),"")</f>
        <v>Beach</v>
      </c>
      <c r="E4" s="17" t="str">
        <f>IFERROR(VLOOKUP(Results!$A4,'Columns B to F vlookup table'!$A$4:$I$21,8,FALSE),"")</f>
        <v xml:space="preserve"> 69° 6'11.41"N</v>
      </c>
      <c r="F4" s="17" t="str">
        <f>IFERROR(VLOOKUP(Results!$A4,'Columns B to F vlookup table'!$A$4:$I$21,9,FALSE),"")</f>
        <v>105° 5'50.26"W</v>
      </c>
      <c r="G4" s="16"/>
      <c r="H4" s="16"/>
      <c r="I4" s="16"/>
      <c r="J4" s="18">
        <v>40343</v>
      </c>
      <c r="K4" s="18"/>
      <c r="L4" s="18"/>
      <c r="M4" s="16">
        <v>7.52</v>
      </c>
      <c r="N4" s="16" t="s">
        <v>13</v>
      </c>
      <c r="O4" s="16" t="s">
        <v>79</v>
      </c>
      <c r="P4" s="16" t="s">
        <v>6</v>
      </c>
      <c r="Q4" s="16">
        <v>1</v>
      </c>
      <c r="R4" s="16">
        <v>3</v>
      </c>
      <c r="S4" s="16">
        <v>5</v>
      </c>
      <c r="T4" s="16" t="s">
        <v>8</v>
      </c>
      <c r="U4" s="16" t="s">
        <v>6</v>
      </c>
      <c r="V4" s="16" t="s">
        <v>9</v>
      </c>
      <c r="W4" s="19" t="s">
        <v>6</v>
      </c>
      <c r="X4" s="16" t="s">
        <v>8</v>
      </c>
      <c r="Y4" s="16">
        <v>180</v>
      </c>
      <c r="Z4" s="16" t="s">
        <v>16</v>
      </c>
      <c r="AA4" s="16" t="s">
        <v>16</v>
      </c>
      <c r="AB4" s="16" t="s">
        <v>16</v>
      </c>
    </row>
    <row r="5" spans="1:29" x14ac:dyDescent="0.25">
      <c r="A5" s="16" t="s">
        <v>56</v>
      </c>
      <c r="B5" s="17" t="str">
        <f>IFERROR(VLOOKUP(Results!$A5,'Columns B to F vlookup table'!$A$4:$I$21,3,FALSE),"")</f>
        <v>CAM-3</v>
      </c>
      <c r="C5" s="17" t="s">
        <v>22</v>
      </c>
      <c r="D5" s="17" t="str">
        <f>IFERROR(VLOOKUP(Results!$A5,'Columns B to F vlookup table'!$A$4:$I$21,7,FALSE),"")</f>
        <v>Summit</v>
      </c>
      <c r="E5" s="17" t="str">
        <f>IFERROR(VLOOKUP(Results!$A5,'Columns B to F vlookup table'!$A$4:$I$21,8,FALSE),"")</f>
        <v xml:space="preserve"> 68°47'42.00"N</v>
      </c>
      <c r="F5" s="17" t="str">
        <f>IFERROR(VLOOKUP(Results!$A5,'Columns B to F vlookup table'!$A$4:$I$21,9,FALSE),"")</f>
        <v xml:space="preserve"> 93°26'19.58"W</v>
      </c>
      <c r="G5" s="16"/>
      <c r="H5" s="16"/>
      <c r="I5" s="16"/>
      <c r="J5" s="18">
        <v>40343</v>
      </c>
      <c r="K5" s="18"/>
      <c r="L5" s="18"/>
      <c r="M5" s="16">
        <v>7.74</v>
      </c>
      <c r="N5" s="16" t="s">
        <v>13</v>
      </c>
      <c r="O5" s="16" t="s">
        <v>79</v>
      </c>
      <c r="P5" s="16" t="s">
        <v>6</v>
      </c>
      <c r="Q5" s="16">
        <v>2</v>
      </c>
      <c r="R5" s="16" t="s">
        <v>7</v>
      </c>
      <c r="S5" s="16">
        <v>19</v>
      </c>
      <c r="T5" s="16" t="s">
        <v>8</v>
      </c>
      <c r="U5" s="16" t="s">
        <v>6</v>
      </c>
      <c r="V5" s="16" t="s">
        <v>9</v>
      </c>
      <c r="W5" s="19" t="s">
        <v>6</v>
      </c>
      <c r="X5" s="16" t="s">
        <v>8</v>
      </c>
      <c r="Y5" s="16" t="s">
        <v>79</v>
      </c>
      <c r="Z5" s="16" t="s">
        <v>16</v>
      </c>
      <c r="AA5" s="16" t="s">
        <v>16</v>
      </c>
      <c r="AB5" s="16" t="s">
        <v>16</v>
      </c>
    </row>
    <row r="6" spans="1:29" x14ac:dyDescent="0.25">
      <c r="A6" s="16" t="s">
        <v>67</v>
      </c>
      <c r="B6" s="17" t="str">
        <f>IFERROR(VLOOKUP(Results!$A6,'Columns B to F vlookup table'!$A$4:$I$21,3,FALSE),"")</f>
        <v>DYE-M</v>
      </c>
      <c r="C6" s="17" t="s">
        <v>27</v>
      </c>
      <c r="D6" s="17" t="str">
        <f>IFERROR(VLOOKUP(Results!$A6,'Columns B to F vlookup table'!$A$4:$I$21,7,FALSE),"")</f>
        <v>Summit</v>
      </c>
      <c r="E6" s="17" t="str">
        <f>IFERROR(VLOOKUP(Results!$A6,'Columns B to F vlookup table'!$A$4:$I$21,8,FALSE),"")</f>
        <v xml:space="preserve"> 66°40'0.13"N</v>
      </c>
      <c r="F6" s="17" t="str">
        <f>IFERROR(VLOOKUP(Results!$A6,'Columns B to F vlookup table'!$A$4:$I$21,9,FALSE),"")</f>
        <v xml:space="preserve"> 61°21'25.76"W</v>
      </c>
      <c r="G6" s="16"/>
      <c r="H6" s="16"/>
      <c r="I6" s="16"/>
      <c r="J6" s="20">
        <v>40345</v>
      </c>
      <c r="K6" s="20"/>
      <c r="L6" s="20"/>
      <c r="M6" s="16">
        <v>7.24</v>
      </c>
      <c r="N6" s="16" t="s">
        <v>13</v>
      </c>
      <c r="O6" s="16" t="s">
        <v>79</v>
      </c>
      <c r="P6" s="16">
        <v>0.3</v>
      </c>
      <c r="Q6" s="16" t="s">
        <v>8</v>
      </c>
      <c r="R6" s="16" t="s">
        <v>7</v>
      </c>
      <c r="S6" s="16">
        <v>3</v>
      </c>
      <c r="T6" s="16" t="s">
        <v>8</v>
      </c>
      <c r="U6" s="16" t="s">
        <v>6</v>
      </c>
      <c r="V6" s="16" t="s">
        <v>9</v>
      </c>
      <c r="W6" s="19" t="s">
        <v>6</v>
      </c>
      <c r="X6" s="16">
        <v>1</v>
      </c>
      <c r="Y6" s="16">
        <v>90</v>
      </c>
      <c r="Z6" s="16" t="s">
        <v>16</v>
      </c>
      <c r="AA6" s="16" t="s">
        <v>16</v>
      </c>
      <c r="AB6" s="16" t="s">
        <v>16</v>
      </c>
    </row>
    <row r="7" spans="1:29" x14ac:dyDescent="0.25">
      <c r="A7" s="16" t="s">
        <v>66</v>
      </c>
      <c r="B7" s="17" t="str">
        <f>IFERROR(VLOOKUP(Results!$A7,'Columns B to F vlookup table'!$A$4:$I$21,3,FALSE),"")</f>
        <v>DYE-M</v>
      </c>
      <c r="C7" s="17" t="s">
        <v>27</v>
      </c>
      <c r="D7" s="17" t="str">
        <f>IFERROR(VLOOKUP(Results!$A7,'Columns B to F vlookup table'!$A$4:$I$21,7,FALSE),"")</f>
        <v>Summit</v>
      </c>
      <c r="E7" s="17" t="str">
        <f>IFERROR(VLOOKUP(Results!$A7,'Columns B to F vlookup table'!$A$4:$I$21,8,FALSE),"")</f>
        <v xml:space="preserve"> 66°39'53.59"N</v>
      </c>
      <c r="F7" s="17" t="str">
        <f>IFERROR(VLOOKUP(Results!$A7,'Columns B to F vlookup table'!$A$4:$I$21,9,FALSE),"")</f>
        <v xml:space="preserve"> 61°21'23.78"W</v>
      </c>
      <c r="G7" s="16"/>
      <c r="H7" s="16"/>
      <c r="I7" s="16"/>
      <c r="J7" s="20">
        <v>40345</v>
      </c>
      <c r="K7" s="20"/>
      <c r="L7" s="20"/>
      <c r="M7" s="16">
        <v>6.04</v>
      </c>
      <c r="N7" s="16" t="s">
        <v>13</v>
      </c>
      <c r="O7" s="16" t="s">
        <v>79</v>
      </c>
      <c r="P7" s="16" t="s">
        <v>6</v>
      </c>
      <c r="Q7" s="16" t="s">
        <v>8</v>
      </c>
      <c r="R7" s="16">
        <v>0.2</v>
      </c>
      <c r="S7" s="16">
        <v>10</v>
      </c>
      <c r="T7" s="16" t="s">
        <v>8</v>
      </c>
      <c r="U7" s="16" t="s">
        <v>6</v>
      </c>
      <c r="V7" s="16" t="s">
        <v>9</v>
      </c>
      <c r="W7" s="19" t="s">
        <v>6</v>
      </c>
      <c r="X7" s="16" t="s">
        <v>8</v>
      </c>
      <c r="Y7" s="16">
        <v>200</v>
      </c>
      <c r="Z7" s="16" t="s">
        <v>16</v>
      </c>
      <c r="AA7" s="16" t="s">
        <v>16</v>
      </c>
      <c r="AB7" s="16" t="s">
        <v>16</v>
      </c>
    </row>
    <row r="8" spans="1:29" x14ac:dyDescent="0.25">
      <c r="A8" s="16" t="s">
        <v>64</v>
      </c>
      <c r="B8" s="17" t="str">
        <f>IFERROR(VLOOKUP(Results!$A8,'Columns B to F vlookup table'!$A$4:$I$21,3,FALSE),"")</f>
        <v>FOX-3</v>
      </c>
      <c r="C8" s="17" t="s">
        <v>25</v>
      </c>
      <c r="D8" s="17" t="str">
        <f>IFERROR(VLOOKUP(Results!$A8,'Columns B to F vlookup table'!$A$4:$I$21,7,FALSE),"")</f>
        <v>Summit</v>
      </c>
      <c r="E8" s="17" t="str">
        <f>IFERROR(VLOOKUP(Results!$A8,'Columns B to F vlookup table'!$A$4:$I$21,8,FALSE),"")</f>
        <v xml:space="preserve"> 68°39'5.43"N</v>
      </c>
      <c r="F8" s="17" t="str">
        <f>IFERROR(VLOOKUP(Results!$A8,'Columns B to F vlookup table'!$A$4:$I$21,9,FALSE),"")</f>
        <v xml:space="preserve"> 71°14'3.23"W</v>
      </c>
      <c r="G8" s="16"/>
      <c r="H8" s="16"/>
      <c r="I8" s="16"/>
      <c r="J8" s="18">
        <v>40352</v>
      </c>
      <c r="K8" s="18"/>
      <c r="L8" s="18"/>
      <c r="M8" s="19">
        <v>7.93</v>
      </c>
      <c r="N8" s="16" t="s">
        <v>13</v>
      </c>
      <c r="O8" s="16" t="s">
        <v>79</v>
      </c>
      <c r="P8" s="16">
        <v>0.2</v>
      </c>
      <c r="Q8" s="16" t="s">
        <v>8</v>
      </c>
      <c r="R8" s="16">
        <v>1.6</v>
      </c>
      <c r="S8" s="16" t="s">
        <v>8</v>
      </c>
      <c r="T8" s="16" t="s">
        <v>8</v>
      </c>
      <c r="U8" s="16" t="s">
        <v>6</v>
      </c>
      <c r="V8" s="16">
        <v>6</v>
      </c>
      <c r="W8" s="19" t="s">
        <v>6</v>
      </c>
      <c r="X8" s="16" t="s">
        <v>8</v>
      </c>
      <c r="Y8" s="16">
        <v>150</v>
      </c>
      <c r="Z8" s="16" t="s">
        <v>16</v>
      </c>
      <c r="AA8" s="16" t="s">
        <v>16</v>
      </c>
      <c r="AB8" s="16" t="s">
        <v>16</v>
      </c>
    </row>
    <row r="9" spans="1:29" x14ac:dyDescent="0.25">
      <c r="A9" s="16" t="s">
        <v>63</v>
      </c>
      <c r="B9" s="17" t="str">
        <f>IFERROR(VLOOKUP(Results!$A9,'Columns B to F vlookup table'!$A$4:$I$21,3,FALSE),"")</f>
        <v>FOX-3</v>
      </c>
      <c r="C9" s="17" t="s">
        <v>25</v>
      </c>
      <c r="D9" s="17" t="str">
        <f>IFERROR(VLOOKUP(Results!$A9,'Columns B to F vlookup table'!$A$4:$I$21,7,FALSE),"")</f>
        <v>Summit</v>
      </c>
      <c r="E9" s="17" t="str">
        <f>IFERROR(VLOOKUP(Results!$A9,'Columns B to F vlookup table'!$A$4:$I$21,8,FALSE),"")</f>
        <v xml:space="preserve"> 68°39'3.67"N</v>
      </c>
      <c r="F9" s="17" t="str">
        <f>IFERROR(VLOOKUP(Results!$A9,'Columns B to F vlookup table'!$A$4:$I$21,9,FALSE),"")</f>
        <v xml:space="preserve"> 71°13'49.97"W</v>
      </c>
      <c r="G9" s="16"/>
      <c r="H9" s="16"/>
      <c r="I9" s="16"/>
      <c r="J9" s="18">
        <v>40352</v>
      </c>
      <c r="K9" s="18"/>
      <c r="L9" s="18"/>
      <c r="M9" s="19">
        <v>7.93</v>
      </c>
      <c r="N9" s="16" t="s">
        <v>13</v>
      </c>
      <c r="O9" s="16" t="s">
        <v>79</v>
      </c>
      <c r="P9" s="16" t="s">
        <v>6</v>
      </c>
      <c r="Q9" s="16" t="s">
        <v>8</v>
      </c>
      <c r="R9" s="16">
        <v>0.6</v>
      </c>
      <c r="S9" s="16">
        <v>7</v>
      </c>
      <c r="T9" s="16" t="s">
        <v>8</v>
      </c>
      <c r="U9" s="16" t="s">
        <v>6</v>
      </c>
      <c r="V9" s="16">
        <v>8</v>
      </c>
      <c r="W9" s="19" t="s">
        <v>6</v>
      </c>
      <c r="X9" s="16" t="s">
        <v>8</v>
      </c>
      <c r="Y9" s="16">
        <v>70</v>
      </c>
      <c r="Z9" s="16" t="s">
        <v>16</v>
      </c>
      <c r="AA9" s="16" t="s">
        <v>16</v>
      </c>
      <c r="AB9" s="16" t="s">
        <v>16</v>
      </c>
    </row>
    <row r="10" spans="1:29" x14ac:dyDescent="0.25">
      <c r="A10" s="16" t="s">
        <v>62</v>
      </c>
      <c r="B10" s="17" t="str">
        <f>IFERROR(VLOOKUP(Results!$A10,'Columns B to F vlookup table'!$A$4:$I$21,3,FALSE),"")</f>
        <v>FOX-M</v>
      </c>
      <c r="C10" s="17" t="s">
        <v>26</v>
      </c>
      <c r="D10" s="17" t="str">
        <f>IFERROR(VLOOKUP(Results!$A10,'Columns B to F vlookup table'!$A$4:$I$21,7,FALSE),"")</f>
        <v>Summit</v>
      </c>
      <c r="E10" s="17" t="str">
        <f>IFERROR(VLOOKUP(Results!$A10,'Columns B to F vlookup table'!$A$4:$I$21,8,FALSE),"")</f>
        <v xml:space="preserve"> 68°45'42.24"N</v>
      </c>
      <c r="F10" s="17" t="str">
        <f>IFERROR(VLOOKUP(Results!$A10,'Columns B to F vlookup table'!$A$4:$I$21,9,FALSE),"")</f>
        <v xml:space="preserve"> 81°13'25.04"W</v>
      </c>
      <c r="G10" s="16"/>
      <c r="H10" s="16"/>
      <c r="I10" s="16"/>
      <c r="J10" s="18">
        <v>40353</v>
      </c>
      <c r="K10" s="18"/>
      <c r="L10" s="18"/>
      <c r="M10" s="16">
        <v>7.99</v>
      </c>
      <c r="N10" s="16" t="s">
        <v>13</v>
      </c>
      <c r="O10" s="16" t="s">
        <v>79</v>
      </c>
      <c r="P10" s="16" t="s">
        <v>6</v>
      </c>
      <c r="Q10" s="16">
        <v>1</v>
      </c>
      <c r="R10" s="16" t="s">
        <v>7</v>
      </c>
      <c r="S10" s="16">
        <v>2</v>
      </c>
      <c r="T10" s="16" t="s">
        <v>8</v>
      </c>
      <c r="U10" s="16" t="s">
        <v>6</v>
      </c>
      <c r="V10" s="16" t="s">
        <v>9</v>
      </c>
      <c r="W10" s="19" t="s">
        <v>6</v>
      </c>
      <c r="X10" s="16" t="s">
        <v>8</v>
      </c>
      <c r="Y10" s="16">
        <v>80</v>
      </c>
      <c r="Z10" s="16" t="s">
        <v>16</v>
      </c>
      <c r="AA10" s="16" t="s">
        <v>16</v>
      </c>
      <c r="AB10" s="16" t="s">
        <v>16</v>
      </c>
    </row>
    <row r="11" spans="1:29" x14ac:dyDescent="0.25">
      <c r="A11" s="16" t="s">
        <v>61</v>
      </c>
      <c r="B11" s="17" t="str">
        <f>IFERROR(VLOOKUP(Results!$A11,'Columns B to F vlookup table'!$A$4:$I$21,3,FALSE),"")</f>
        <v>FOX-M</v>
      </c>
      <c r="C11" s="17" t="s">
        <v>26</v>
      </c>
      <c r="D11" s="17" t="str">
        <f>IFERROR(VLOOKUP(Results!$A11,'Columns B to F vlookup table'!$A$4:$I$21,7,FALSE),"")</f>
        <v>Summit</v>
      </c>
      <c r="E11" s="17" t="str">
        <f>IFERROR(VLOOKUP(Results!$A11,'Columns B to F vlookup table'!$A$4:$I$21,8,FALSE),"")</f>
        <v xml:space="preserve"> 68°45'43.00"N</v>
      </c>
      <c r="F11" s="17" t="str">
        <f>IFERROR(VLOOKUP(Results!$A11,'Columns B to F vlookup table'!$A$4:$I$21,9,FALSE),"")</f>
        <v xml:space="preserve"> 81°13'27.27"W</v>
      </c>
      <c r="G11" s="16"/>
      <c r="H11" s="16"/>
      <c r="I11" s="16"/>
      <c r="J11" s="18">
        <v>40353</v>
      </c>
      <c r="K11" s="18"/>
      <c r="L11" s="18"/>
      <c r="M11" s="19">
        <v>7.99</v>
      </c>
      <c r="N11" s="16" t="s">
        <v>13</v>
      </c>
      <c r="O11" s="16" t="s">
        <v>79</v>
      </c>
      <c r="P11" s="16" t="s">
        <v>6</v>
      </c>
      <c r="Q11" s="16">
        <v>4</v>
      </c>
      <c r="R11" s="16" t="s">
        <v>7</v>
      </c>
      <c r="S11" s="16">
        <v>2</v>
      </c>
      <c r="T11" s="16" t="s">
        <v>8</v>
      </c>
      <c r="U11" s="16" t="s">
        <v>6</v>
      </c>
      <c r="V11" s="16" t="s">
        <v>9</v>
      </c>
      <c r="W11" s="19" t="s">
        <v>6</v>
      </c>
      <c r="X11" s="16" t="s">
        <v>8</v>
      </c>
      <c r="Y11" s="16">
        <v>60</v>
      </c>
      <c r="Z11" s="16" t="s">
        <v>16</v>
      </c>
      <c r="AA11" s="16" t="s">
        <v>16</v>
      </c>
      <c r="AB11" s="16" t="s">
        <v>16</v>
      </c>
    </row>
    <row r="12" spans="1:29" x14ac:dyDescent="0.25">
      <c r="A12" s="16" t="s">
        <v>60</v>
      </c>
      <c r="B12" s="17" t="str">
        <f>IFERROR(VLOOKUP(Results!$A12,'Columns B to F vlookup table'!$A$4:$I$21,3,FALSE),"")</f>
        <v>FOX-M</v>
      </c>
      <c r="C12" s="17" t="s">
        <v>26</v>
      </c>
      <c r="D12" s="17" t="str">
        <f>IFERROR(VLOOKUP(Results!$A12,'Columns B to F vlookup table'!$A$4:$I$21,7,FALSE),"")</f>
        <v>Airstrip</v>
      </c>
      <c r="E12" s="17" t="str">
        <f>IFERROR(VLOOKUP(Results!$A12,'Columns B to F vlookup table'!$A$4:$I$21,8,FALSE),"")</f>
        <v xml:space="preserve"> 68°46'15.85"N</v>
      </c>
      <c r="F12" s="17" t="str">
        <f>IFERROR(VLOOKUP(Results!$A12,'Columns B to F vlookup table'!$A$4:$I$21,9,FALSE),"")</f>
        <v xml:space="preserve"> 81°13'58.33"W</v>
      </c>
      <c r="G12" s="16"/>
      <c r="H12" s="16"/>
      <c r="I12" s="16"/>
      <c r="J12" s="18">
        <v>40353</v>
      </c>
      <c r="K12" s="18"/>
      <c r="L12" s="18"/>
      <c r="M12" s="16">
        <v>7.85</v>
      </c>
      <c r="N12" s="16" t="s">
        <v>13</v>
      </c>
      <c r="O12" s="16" t="s">
        <v>79</v>
      </c>
      <c r="P12" s="16">
        <v>0.2</v>
      </c>
      <c r="Q12" s="16" t="s">
        <v>8</v>
      </c>
      <c r="R12" s="16" t="s">
        <v>7</v>
      </c>
      <c r="S12" s="16">
        <v>2</v>
      </c>
      <c r="T12" s="16" t="s">
        <v>8</v>
      </c>
      <c r="U12" s="16" t="s">
        <v>6</v>
      </c>
      <c r="V12" s="16" t="s">
        <v>9</v>
      </c>
      <c r="W12" s="19" t="s">
        <v>6</v>
      </c>
      <c r="X12" s="16" t="s">
        <v>8</v>
      </c>
      <c r="Y12" s="16">
        <v>120</v>
      </c>
      <c r="Z12" s="16" t="s">
        <v>16</v>
      </c>
      <c r="AA12" s="16" t="s">
        <v>16</v>
      </c>
      <c r="AB12" s="16" t="s">
        <v>16</v>
      </c>
    </row>
    <row r="13" spans="1:29" x14ac:dyDescent="0.25">
      <c r="A13" s="16" t="s">
        <v>58</v>
      </c>
      <c r="B13" s="17" t="str">
        <f>IFERROR(VLOOKUP(Results!$A13,'Columns B to F vlookup table'!$A$4:$I$21,3,FALSE),"")</f>
        <v>FOX-M</v>
      </c>
      <c r="C13" s="17" t="s">
        <v>26</v>
      </c>
      <c r="D13" s="17" t="str">
        <f>IFERROR(VLOOKUP(Results!$A13,'Columns B to F vlookup table'!$A$4:$I$21,7,FALSE),"")</f>
        <v>Beach</v>
      </c>
      <c r="E13" s="17" t="str">
        <f>IFERROR(VLOOKUP(Results!$A13,'Columns B to F vlookup table'!$A$4:$I$21,8,FALSE),"")</f>
        <v xml:space="preserve"> 68°46'23.75"N</v>
      </c>
      <c r="F13" s="17" t="str">
        <f>IFERROR(VLOOKUP(Results!$A13,'Columns B to F vlookup table'!$A$4:$I$21,9,FALSE),"")</f>
        <v xml:space="preserve"> 81°12'46.12"W</v>
      </c>
      <c r="G13" s="16"/>
      <c r="H13" s="16"/>
      <c r="I13" s="16"/>
      <c r="J13" s="18">
        <v>40353</v>
      </c>
      <c r="K13" s="18"/>
      <c r="L13" s="18"/>
      <c r="M13" s="16">
        <v>7.89</v>
      </c>
      <c r="N13" s="16" t="s">
        <v>13</v>
      </c>
      <c r="O13" s="16" t="s">
        <v>79</v>
      </c>
      <c r="P13" s="16" t="s">
        <v>6</v>
      </c>
      <c r="Q13" s="16" t="s">
        <v>8</v>
      </c>
      <c r="R13" s="16" t="s">
        <v>7</v>
      </c>
      <c r="S13" s="16">
        <v>2</v>
      </c>
      <c r="T13" s="16" t="s">
        <v>8</v>
      </c>
      <c r="U13" s="16" t="s">
        <v>6</v>
      </c>
      <c r="V13" s="16" t="s">
        <v>9</v>
      </c>
      <c r="W13" s="19" t="s">
        <v>6</v>
      </c>
      <c r="X13" s="16" t="s">
        <v>8</v>
      </c>
      <c r="Y13" s="16">
        <v>120</v>
      </c>
      <c r="Z13" s="16" t="s">
        <v>16</v>
      </c>
      <c r="AA13" s="16" t="s">
        <v>16</v>
      </c>
      <c r="AB13" s="16" t="s">
        <v>16</v>
      </c>
    </row>
    <row r="14" spans="1:29" x14ac:dyDescent="0.25">
      <c r="A14" s="16" t="s">
        <v>59</v>
      </c>
      <c r="B14" s="17" t="str">
        <f>IFERROR(VLOOKUP(Results!$A14,'Columns B to F vlookup table'!$A$4:$I$21,3,FALSE),"")</f>
        <v>FOX-M</v>
      </c>
      <c r="C14" s="17" t="s">
        <v>26</v>
      </c>
      <c r="D14" s="17" t="str">
        <f>IFERROR(VLOOKUP(Results!$A14,'Columns B to F vlookup table'!$A$4:$I$21,7,FALSE),"")</f>
        <v>Beach</v>
      </c>
      <c r="E14" s="17" t="str">
        <f>IFERROR(VLOOKUP(Results!$A14,'Columns B to F vlookup table'!$A$4:$I$21,8,FALSE),"")</f>
        <v xml:space="preserve"> 68°46'23.93"N</v>
      </c>
      <c r="F14" s="17" t="str">
        <f>IFERROR(VLOOKUP(Results!$A14,'Columns B to F vlookup table'!$A$4:$I$21,9,FALSE),"")</f>
        <v xml:space="preserve"> 81°12'51.11"W</v>
      </c>
      <c r="G14" s="16"/>
      <c r="H14" s="16"/>
      <c r="I14" s="16"/>
      <c r="J14" s="18">
        <v>40353</v>
      </c>
      <c r="K14" s="18"/>
      <c r="L14" s="18"/>
      <c r="M14" s="16">
        <v>7.93</v>
      </c>
      <c r="N14" s="16" t="s">
        <v>13</v>
      </c>
      <c r="O14" s="16" t="s">
        <v>79</v>
      </c>
      <c r="P14" s="16" t="s">
        <v>6</v>
      </c>
      <c r="Q14" s="16" t="s">
        <v>8</v>
      </c>
      <c r="R14" s="16" t="s">
        <v>7</v>
      </c>
      <c r="S14" s="16">
        <v>2</v>
      </c>
      <c r="T14" s="16" t="s">
        <v>8</v>
      </c>
      <c r="U14" s="16" t="s">
        <v>6</v>
      </c>
      <c r="V14" s="16" t="s">
        <v>9</v>
      </c>
      <c r="W14" s="19" t="s">
        <v>6</v>
      </c>
      <c r="X14" s="16" t="s">
        <v>8</v>
      </c>
      <c r="Y14" s="16">
        <v>80</v>
      </c>
      <c r="Z14" s="16" t="s">
        <v>16</v>
      </c>
      <c r="AA14" s="16" t="s">
        <v>16</v>
      </c>
      <c r="AB14" s="16" t="s">
        <v>16</v>
      </c>
    </row>
    <row r="15" spans="1:29" x14ac:dyDescent="0.25">
      <c r="A15" s="16" t="s">
        <v>91</v>
      </c>
      <c r="B15" s="17" t="str">
        <f>IFERROR(VLOOKUP(Results!$A15,'Columns B to F vlookup table'!$A$4:$I$21,3,FALSE),"")</f>
        <v>BAF-3</v>
      </c>
      <c r="C15" s="17" t="s">
        <v>24</v>
      </c>
      <c r="D15" s="17" t="str">
        <f>IFERROR(VLOOKUP(Results!$A15,'Columns B to F vlookup table'!$A$4:$I$21,7,FALSE),"")</f>
        <v>Beach</v>
      </c>
      <c r="E15" s="17" t="str">
        <f>IFERROR(VLOOKUP(Results!$A15,'Columns B to F vlookup table'!$A$4:$I$21,8,FALSE),"")</f>
        <v xml:space="preserve"> 63°19'10.94"N</v>
      </c>
      <c r="F15" s="17" t="str">
        <f>IFERROR(VLOOKUP(Results!$A15,'Columns B to F vlookup table'!$A$4:$I$21,9,FALSE),"")</f>
        <v xml:space="preserve"> 64° 8'21.22"W</v>
      </c>
      <c r="G15" s="16"/>
      <c r="H15" s="16"/>
      <c r="I15" s="16"/>
      <c r="J15" s="21">
        <v>40353</v>
      </c>
      <c r="K15" s="21"/>
      <c r="L15" s="21"/>
      <c r="M15" s="16">
        <v>7.19</v>
      </c>
      <c r="N15" s="16" t="s">
        <v>13</v>
      </c>
      <c r="O15" s="16" t="s">
        <v>79</v>
      </c>
      <c r="P15" s="16" t="s">
        <v>6</v>
      </c>
      <c r="Q15" s="16" t="s">
        <v>8</v>
      </c>
      <c r="R15" s="16" t="s">
        <v>7</v>
      </c>
      <c r="S15" s="16">
        <v>1</v>
      </c>
      <c r="T15" s="16" t="s">
        <v>8</v>
      </c>
      <c r="U15" s="16" t="s">
        <v>6</v>
      </c>
      <c r="V15" s="19" t="s">
        <v>9</v>
      </c>
      <c r="W15" s="16" t="s">
        <v>6</v>
      </c>
      <c r="X15" s="16" t="s">
        <v>8</v>
      </c>
      <c r="Y15" s="16">
        <v>80</v>
      </c>
      <c r="Z15" s="16" t="s">
        <v>16</v>
      </c>
      <c r="AA15" s="16" t="s">
        <v>16</v>
      </c>
      <c r="AB15" s="16" t="s">
        <v>16</v>
      </c>
    </row>
    <row r="16" spans="1:29" x14ac:dyDescent="0.25">
      <c r="A16" s="16" t="s">
        <v>57</v>
      </c>
      <c r="B16" s="17" t="str">
        <f>IFERROR(VLOOKUP(Results!$A16,'Columns B to F vlookup table'!$A$4:$I$21,3,FALSE),"")</f>
        <v>CAM-3</v>
      </c>
      <c r="C16" s="17" t="s">
        <v>22</v>
      </c>
      <c r="D16" s="17" t="str">
        <f>IFERROR(VLOOKUP(Results!$A16,'Columns B to F vlookup table'!$A$4:$I$21,7,FALSE),"")</f>
        <v>Beach</v>
      </c>
      <c r="E16" s="17" t="str">
        <f>IFERROR(VLOOKUP(Results!$A16,'Columns B to F vlookup table'!$A$4:$I$21,8,FALSE),"")</f>
        <v xml:space="preserve"> 68°48'7.82"N</v>
      </c>
      <c r="F16" s="17" t="str">
        <f>IFERROR(VLOOKUP(Results!$A16,'Columns B to F vlookup table'!$A$4:$I$21,9,FALSE),"")</f>
        <v xml:space="preserve"> 93°36'50.12"W</v>
      </c>
      <c r="G16" s="16"/>
      <c r="H16" s="16"/>
      <c r="I16" s="16"/>
      <c r="J16" s="18">
        <v>40354</v>
      </c>
      <c r="K16" s="18"/>
      <c r="L16" s="18"/>
      <c r="M16" s="16">
        <v>7.57</v>
      </c>
      <c r="N16" s="16" t="s">
        <v>13</v>
      </c>
      <c r="O16" s="16" t="s">
        <v>79</v>
      </c>
      <c r="P16" s="16" t="s">
        <v>6</v>
      </c>
      <c r="Q16" s="16">
        <v>2</v>
      </c>
      <c r="R16" s="16" t="s">
        <v>7</v>
      </c>
      <c r="S16" s="16">
        <v>3</v>
      </c>
      <c r="T16" s="16" t="s">
        <v>8</v>
      </c>
      <c r="U16" s="16" t="s">
        <v>6</v>
      </c>
      <c r="V16" s="16" t="s">
        <v>9</v>
      </c>
      <c r="W16" s="19" t="s">
        <v>6</v>
      </c>
      <c r="X16" s="16" t="s">
        <v>8</v>
      </c>
      <c r="Y16" s="16" t="s">
        <v>79</v>
      </c>
      <c r="Z16" s="16" t="s">
        <v>16</v>
      </c>
      <c r="AA16" s="16" t="s">
        <v>16</v>
      </c>
      <c r="AB16" s="16" t="s">
        <v>16</v>
      </c>
    </row>
    <row r="17" spans="1:28" x14ac:dyDescent="0.25">
      <c r="A17" s="16" t="s">
        <v>86</v>
      </c>
      <c r="B17" s="17" t="str">
        <f>IFERROR(VLOOKUP(Results!$A17,'Columns B to F vlookup table'!$A$4:$I$21,3,FALSE),"")</f>
        <v>BAF-3</v>
      </c>
      <c r="C17" s="17" t="s">
        <v>24</v>
      </c>
      <c r="D17" s="17" t="str">
        <f>IFERROR(VLOOKUP(Results!$A17,'Columns B to F vlookup table'!$A$4:$I$21,7,FALSE),"")</f>
        <v>Summit</v>
      </c>
      <c r="E17" s="17" t="str">
        <f>IFERROR(VLOOKUP(Results!$A17,'Columns B to F vlookup table'!$A$4:$I$21,8,FALSE),"")</f>
        <v xml:space="preserve"> 63°20'23.21"N</v>
      </c>
      <c r="F17" s="17" t="str">
        <f>IFERROR(VLOOKUP(Results!$A17,'Columns B to F vlookup table'!$A$4:$I$21,9,FALSE),"")</f>
        <v xml:space="preserve"> 64° 9'17.92"W</v>
      </c>
      <c r="G17" s="16"/>
      <c r="H17" s="16"/>
      <c r="I17" s="16"/>
      <c r="J17" s="20">
        <v>40357</v>
      </c>
      <c r="K17" s="20"/>
      <c r="L17" s="20"/>
      <c r="M17" s="16">
        <v>7.4</v>
      </c>
      <c r="N17" s="16" t="s">
        <v>13</v>
      </c>
      <c r="O17" s="16" t="s">
        <v>79</v>
      </c>
      <c r="P17" s="16" t="s">
        <v>6</v>
      </c>
      <c r="Q17" s="16" t="s">
        <v>8</v>
      </c>
      <c r="R17" s="16" t="s">
        <v>7</v>
      </c>
      <c r="S17" s="16">
        <v>2</v>
      </c>
      <c r="T17" s="16" t="s">
        <v>8</v>
      </c>
      <c r="U17" s="16" t="s">
        <v>6</v>
      </c>
      <c r="V17" s="16" t="s">
        <v>9</v>
      </c>
      <c r="W17" s="16" t="s">
        <v>6</v>
      </c>
      <c r="X17" s="16" t="s">
        <v>8</v>
      </c>
      <c r="Y17" s="16">
        <v>80</v>
      </c>
      <c r="Z17" s="16" t="s">
        <v>16</v>
      </c>
      <c r="AA17" s="16" t="s">
        <v>16</v>
      </c>
      <c r="AB17" s="16" t="s">
        <v>16</v>
      </c>
    </row>
    <row r="18" spans="1:28" x14ac:dyDescent="0.25">
      <c r="A18" s="16" t="s">
        <v>86</v>
      </c>
      <c r="B18" s="17" t="str">
        <f>IFERROR(VLOOKUP(Results!$A18,'Columns B to F vlookup table'!$A$4:$I$21,3,FALSE),"")</f>
        <v>BAF-3</v>
      </c>
      <c r="C18" s="17" t="s">
        <v>24</v>
      </c>
      <c r="D18" s="17" t="str">
        <f>IFERROR(VLOOKUP(Results!$A18,'Columns B to F vlookup table'!$A$4:$I$21,7,FALSE),"")</f>
        <v>Summit</v>
      </c>
      <c r="E18" s="17" t="str">
        <f>IFERROR(VLOOKUP(Results!$A18,'Columns B to F vlookup table'!$A$4:$I$21,8,FALSE),"")</f>
        <v xml:space="preserve"> 63°20'23.21"N</v>
      </c>
      <c r="F18" s="17" t="str">
        <f>IFERROR(VLOOKUP(Results!$A18,'Columns B to F vlookup table'!$A$4:$I$21,9,FALSE),"")</f>
        <v xml:space="preserve"> 64° 9'17.92"W</v>
      </c>
      <c r="G18" s="16"/>
      <c r="H18" s="16"/>
      <c r="I18" s="16"/>
      <c r="J18" s="20">
        <v>40422</v>
      </c>
      <c r="K18" s="20"/>
      <c r="L18" s="20"/>
      <c r="M18" s="16">
        <v>8.0500000000000007</v>
      </c>
      <c r="N18" s="16" t="s">
        <v>13</v>
      </c>
      <c r="O18" s="16" t="s">
        <v>79</v>
      </c>
      <c r="P18" s="16" t="s">
        <v>6</v>
      </c>
      <c r="Q18" s="16" t="s">
        <v>8</v>
      </c>
      <c r="R18" s="16" t="s">
        <v>7</v>
      </c>
      <c r="S18" s="16">
        <v>2</v>
      </c>
      <c r="T18" s="16" t="s">
        <v>8</v>
      </c>
      <c r="U18" s="16" t="s">
        <v>6</v>
      </c>
      <c r="V18" s="16" t="s">
        <v>9</v>
      </c>
      <c r="W18" s="16" t="s">
        <v>6</v>
      </c>
      <c r="X18" s="16" t="s">
        <v>8</v>
      </c>
      <c r="Y18" s="16" t="s">
        <v>79</v>
      </c>
      <c r="Z18" s="16" t="s">
        <v>16</v>
      </c>
      <c r="AA18" s="16" t="s">
        <v>16</v>
      </c>
      <c r="AB18" s="16" t="s">
        <v>16</v>
      </c>
    </row>
    <row r="19" spans="1:28" x14ac:dyDescent="0.25">
      <c r="A19" s="16" t="s">
        <v>70</v>
      </c>
      <c r="B19" s="17" t="str">
        <f>IFERROR(VLOOKUP(Results!$A19,'Columns B to F vlookup table'!$A$4:$I$21,3,FALSE),"")</f>
        <v>CAM-M</v>
      </c>
      <c r="C19" s="17" t="s">
        <v>23</v>
      </c>
      <c r="D19" s="17" t="str">
        <f>IFERROR(VLOOKUP(Results!$A19,'Columns B to F vlookup table'!$A$4:$I$21,7,FALSE),"")</f>
        <v>Summit</v>
      </c>
      <c r="E19" s="17" t="str">
        <f>IFERROR(VLOOKUP(Results!$A19,'Columns B to F vlookup table'!$A$4:$I$21,8,FALSE),"")</f>
        <v xml:space="preserve"> 69° 7'2.76"N</v>
      </c>
      <c r="F19" s="17" t="str">
        <f>IFERROR(VLOOKUP(Results!$A19,'Columns B to F vlookup table'!$A$4:$I$21,9,FALSE),"")</f>
        <v>105° 7'2.69"W</v>
      </c>
      <c r="G19" s="16"/>
      <c r="H19" s="16"/>
      <c r="I19" s="16"/>
      <c r="J19" s="18">
        <v>40708</v>
      </c>
      <c r="K19" s="18"/>
      <c r="L19" s="18"/>
      <c r="M19" s="16">
        <v>7.55</v>
      </c>
      <c r="N19" s="16">
        <v>3000</v>
      </c>
      <c r="O19" s="16" t="s">
        <v>79</v>
      </c>
      <c r="P19" s="16" t="s">
        <v>6</v>
      </c>
      <c r="Q19" s="16" t="s">
        <v>8</v>
      </c>
      <c r="R19" s="16" t="s">
        <v>7</v>
      </c>
      <c r="S19" s="16">
        <v>13</v>
      </c>
      <c r="T19" s="16" t="s">
        <v>8</v>
      </c>
      <c r="U19" s="16" t="s">
        <v>6</v>
      </c>
      <c r="V19" s="16" t="s">
        <v>9</v>
      </c>
      <c r="W19" s="19" t="s">
        <v>6</v>
      </c>
      <c r="X19" s="16" t="s">
        <v>8</v>
      </c>
      <c r="Y19" s="16" t="s">
        <v>79</v>
      </c>
      <c r="Z19" s="16" t="s">
        <v>16</v>
      </c>
      <c r="AA19" s="16" t="s">
        <v>16</v>
      </c>
      <c r="AB19" s="16" t="s">
        <v>16</v>
      </c>
    </row>
    <row r="20" spans="1:28" x14ac:dyDescent="0.25">
      <c r="A20" s="16" t="s">
        <v>73</v>
      </c>
      <c r="B20" s="17" t="str">
        <f>IFERROR(VLOOKUP(Results!$A20,'Columns B to F vlookup table'!$A$4:$I$21,3,FALSE),"")</f>
        <v>CAM-M</v>
      </c>
      <c r="C20" s="17" t="s">
        <v>23</v>
      </c>
      <c r="D20" s="17" t="str">
        <f>IFERROR(VLOOKUP(Results!$A20,'Columns B to F vlookup table'!$A$4:$I$21,7,FALSE),"")</f>
        <v>Airstrip</v>
      </c>
      <c r="E20" s="17" t="str">
        <f>IFERROR(VLOOKUP(Results!$A20,'Columns B to F vlookup table'!$A$4:$I$21,8,FALSE),"")</f>
        <v xml:space="preserve"> 69° 6'12.01"N</v>
      </c>
      <c r="F20" s="17" t="str">
        <f>IFERROR(VLOOKUP(Results!$A20,'Columns B to F vlookup table'!$A$4:$I$21,9,FALSE),"")</f>
        <v>105° 7'36.60"W</v>
      </c>
      <c r="G20" s="16"/>
      <c r="H20" s="16"/>
      <c r="I20" s="16"/>
      <c r="J20" s="18">
        <v>40708</v>
      </c>
      <c r="K20" s="18"/>
      <c r="L20" s="18"/>
      <c r="M20" s="16">
        <v>7.44</v>
      </c>
      <c r="N20" s="16" t="s">
        <v>13</v>
      </c>
      <c r="O20" s="16" t="s">
        <v>79</v>
      </c>
      <c r="P20" s="16">
        <v>0.1</v>
      </c>
      <c r="Q20" s="16" t="s">
        <v>8</v>
      </c>
      <c r="R20" s="16">
        <v>0.3</v>
      </c>
      <c r="S20" s="16">
        <v>3</v>
      </c>
      <c r="T20" s="16" t="s">
        <v>8</v>
      </c>
      <c r="U20" s="16" t="s">
        <v>6</v>
      </c>
      <c r="V20" s="16" t="s">
        <v>9</v>
      </c>
      <c r="W20" s="19" t="s">
        <v>6</v>
      </c>
      <c r="X20" s="16" t="s">
        <v>8</v>
      </c>
      <c r="Y20" s="16">
        <v>130</v>
      </c>
      <c r="Z20" s="16" t="s">
        <v>16</v>
      </c>
      <c r="AA20" s="16" t="s">
        <v>16</v>
      </c>
      <c r="AB20" s="16" t="s">
        <v>16</v>
      </c>
    </row>
    <row r="21" spans="1:28" x14ac:dyDescent="0.25">
      <c r="A21" s="16" t="s">
        <v>74</v>
      </c>
      <c r="B21" s="17" t="str">
        <f>IFERROR(VLOOKUP(Results!$A21,'Columns B to F vlookup table'!$A$4:$I$21,3,FALSE),"")</f>
        <v>CAM-M</v>
      </c>
      <c r="C21" s="17" t="s">
        <v>23</v>
      </c>
      <c r="D21" s="17" t="str">
        <f>IFERROR(VLOOKUP(Results!$A21,'Columns B to F vlookup table'!$A$4:$I$21,7,FALSE),"")</f>
        <v>Beach</v>
      </c>
      <c r="E21" s="17" t="str">
        <f>IFERROR(VLOOKUP(Results!$A21,'Columns B to F vlookup table'!$A$4:$I$21,8,FALSE),"")</f>
        <v xml:space="preserve"> 69° 6'11.41"N</v>
      </c>
      <c r="F21" s="17" t="str">
        <f>IFERROR(VLOOKUP(Results!$A21,'Columns B to F vlookup table'!$A$4:$I$21,9,FALSE),"")</f>
        <v>105° 5'50.26"W</v>
      </c>
      <c r="G21" s="16"/>
      <c r="H21" s="16"/>
      <c r="I21" s="16"/>
      <c r="J21" s="18">
        <v>40708</v>
      </c>
      <c r="K21" s="18"/>
      <c r="L21" s="18"/>
      <c r="M21" s="16">
        <v>7.51</v>
      </c>
      <c r="N21" s="16" t="s">
        <v>13</v>
      </c>
      <c r="O21" s="16" t="s">
        <v>79</v>
      </c>
      <c r="P21" s="16" t="s">
        <v>6</v>
      </c>
      <c r="Q21" s="16" t="s">
        <v>8</v>
      </c>
      <c r="R21" s="16" t="s">
        <v>7</v>
      </c>
      <c r="S21" s="16">
        <v>6</v>
      </c>
      <c r="T21" s="16" t="s">
        <v>8</v>
      </c>
      <c r="U21" s="16" t="s">
        <v>6</v>
      </c>
      <c r="V21" s="16" t="s">
        <v>9</v>
      </c>
      <c r="W21" s="19" t="s">
        <v>6</v>
      </c>
      <c r="X21" s="16" t="s">
        <v>8</v>
      </c>
      <c r="Y21" s="16" t="s">
        <v>79</v>
      </c>
      <c r="Z21" s="16" t="s">
        <v>16</v>
      </c>
      <c r="AA21" s="16" t="s">
        <v>16</v>
      </c>
      <c r="AB21" s="16" t="s">
        <v>16</v>
      </c>
    </row>
    <row r="22" spans="1:28" x14ac:dyDescent="0.25">
      <c r="A22" s="16" t="s">
        <v>64</v>
      </c>
      <c r="B22" s="17" t="str">
        <f>IFERROR(VLOOKUP(Results!$A22,'Columns B to F vlookup table'!$A$4:$I$21,3,FALSE),"")</f>
        <v>FOX-3</v>
      </c>
      <c r="C22" s="17" t="s">
        <v>25</v>
      </c>
      <c r="D22" s="17" t="str">
        <f>IFERROR(VLOOKUP(Results!$A22,'Columns B to F vlookup table'!$A$4:$I$21,7,FALSE),"")</f>
        <v>Summit</v>
      </c>
      <c r="E22" s="17" t="str">
        <f>IFERROR(VLOOKUP(Results!$A22,'Columns B to F vlookup table'!$A$4:$I$21,8,FALSE),"")</f>
        <v xml:space="preserve"> 68°39'5.43"N</v>
      </c>
      <c r="F22" s="17" t="str">
        <f>IFERROR(VLOOKUP(Results!$A22,'Columns B to F vlookup table'!$A$4:$I$21,9,FALSE),"")</f>
        <v xml:space="preserve"> 71°14'3.23"W</v>
      </c>
      <c r="G22" s="16"/>
      <c r="H22" s="16"/>
      <c r="I22" s="16"/>
      <c r="J22" s="21">
        <v>40722</v>
      </c>
      <c r="K22" s="21"/>
      <c r="L22" s="21"/>
      <c r="M22" s="19">
        <v>6.13</v>
      </c>
      <c r="N22" s="16" t="s">
        <v>13</v>
      </c>
      <c r="O22" s="16" t="s">
        <v>79</v>
      </c>
      <c r="P22" s="16" t="s">
        <v>80</v>
      </c>
      <c r="Q22" s="16" t="s">
        <v>79</v>
      </c>
      <c r="R22" s="16" t="s">
        <v>80</v>
      </c>
      <c r="S22" s="16" t="s">
        <v>80</v>
      </c>
      <c r="T22" s="16" t="s">
        <v>80</v>
      </c>
      <c r="U22" s="16" t="s">
        <v>6</v>
      </c>
      <c r="V22" s="16" t="s">
        <v>80</v>
      </c>
      <c r="W22" s="19" t="s">
        <v>6</v>
      </c>
      <c r="X22" s="16" t="s">
        <v>8</v>
      </c>
      <c r="Y22" s="16">
        <v>140</v>
      </c>
      <c r="Z22" s="16" t="s">
        <v>16</v>
      </c>
      <c r="AA22" s="16" t="s">
        <v>16</v>
      </c>
      <c r="AB22" s="16" t="s">
        <v>16</v>
      </c>
    </row>
    <row r="23" spans="1:28" x14ac:dyDescent="0.25">
      <c r="A23" s="16" t="s">
        <v>63</v>
      </c>
      <c r="B23" s="17" t="str">
        <f>IFERROR(VLOOKUP(Results!$A23,'Columns B to F vlookup table'!$A$4:$I$21,3,FALSE),"")</f>
        <v>FOX-3</v>
      </c>
      <c r="C23" s="17" t="s">
        <v>25</v>
      </c>
      <c r="D23" s="17" t="str">
        <f>IFERROR(VLOOKUP(Results!$A23,'Columns B to F vlookup table'!$A$4:$I$21,7,FALSE),"")</f>
        <v>Summit</v>
      </c>
      <c r="E23" s="17" t="str">
        <f>IFERROR(VLOOKUP(Results!$A23,'Columns B to F vlookup table'!$A$4:$I$21,8,FALSE),"")</f>
        <v xml:space="preserve"> 68°39'3.67"N</v>
      </c>
      <c r="F23" s="17" t="str">
        <f>IFERROR(VLOOKUP(Results!$A23,'Columns B to F vlookup table'!$A$4:$I$21,9,FALSE),"")</f>
        <v xml:space="preserve"> 71°13'49.97"W</v>
      </c>
      <c r="G23" s="16"/>
      <c r="H23" s="16"/>
      <c r="I23" s="16"/>
      <c r="J23" s="21">
        <v>40722</v>
      </c>
      <c r="K23" s="21"/>
      <c r="L23" s="21"/>
      <c r="M23" s="19">
        <v>6.09</v>
      </c>
      <c r="N23" s="16" t="s">
        <v>13</v>
      </c>
      <c r="O23" s="16" t="s">
        <v>79</v>
      </c>
      <c r="P23" s="16" t="s">
        <v>80</v>
      </c>
      <c r="Q23" s="16" t="s">
        <v>79</v>
      </c>
      <c r="R23" s="16" t="s">
        <v>80</v>
      </c>
      <c r="S23" s="16" t="s">
        <v>80</v>
      </c>
      <c r="T23" s="16" t="s">
        <v>8</v>
      </c>
      <c r="U23" s="16" t="s">
        <v>6</v>
      </c>
      <c r="V23" s="16" t="s">
        <v>80</v>
      </c>
      <c r="W23" s="19" t="s">
        <v>6</v>
      </c>
      <c r="X23" s="16" t="s">
        <v>8</v>
      </c>
      <c r="Y23" s="16">
        <v>60</v>
      </c>
      <c r="Z23" s="16" t="s">
        <v>16</v>
      </c>
      <c r="AA23" s="16" t="s">
        <v>16</v>
      </c>
      <c r="AB23" s="16" t="s">
        <v>16</v>
      </c>
    </row>
    <row r="24" spans="1:28" x14ac:dyDescent="0.25">
      <c r="A24" s="16" t="s">
        <v>91</v>
      </c>
      <c r="B24" s="17" t="str">
        <f>IFERROR(VLOOKUP(Results!$A24,'Columns B to F vlookup table'!$A$4:$I$21,3,FALSE),"")</f>
        <v>BAF-3</v>
      </c>
      <c r="C24" s="17" t="s">
        <v>24</v>
      </c>
      <c r="D24" s="17" t="str">
        <f>IFERROR(VLOOKUP(Results!$A24,'Columns B to F vlookup table'!$A$4:$I$21,7,FALSE),"")</f>
        <v>Beach</v>
      </c>
      <c r="E24" s="17" t="str">
        <f>IFERROR(VLOOKUP(Results!$A24,'Columns B to F vlookup table'!$A$4:$I$21,8,FALSE),"")</f>
        <v xml:space="preserve"> 63°19'10.94"N</v>
      </c>
      <c r="F24" s="17" t="str">
        <f>IFERROR(VLOOKUP(Results!$A24,'Columns B to F vlookup table'!$A$4:$I$21,9,FALSE),"")</f>
        <v xml:space="preserve"> 64° 8'21.22"W</v>
      </c>
      <c r="G24" s="16"/>
      <c r="H24" s="16"/>
      <c r="I24" s="16"/>
      <c r="J24" s="21">
        <v>40729</v>
      </c>
      <c r="K24" s="21"/>
      <c r="L24" s="21"/>
      <c r="M24" s="16">
        <v>7.76</v>
      </c>
      <c r="N24" s="16" t="s">
        <v>13</v>
      </c>
      <c r="O24" s="16" t="s">
        <v>79</v>
      </c>
      <c r="P24" s="16" t="s">
        <v>6</v>
      </c>
      <c r="Q24" s="16" t="s">
        <v>8</v>
      </c>
      <c r="R24" s="16" t="s">
        <v>7</v>
      </c>
      <c r="S24" s="16">
        <v>6</v>
      </c>
      <c r="T24" s="16" t="s">
        <v>8</v>
      </c>
      <c r="U24" s="16" t="s">
        <v>6</v>
      </c>
      <c r="V24" s="19" t="s">
        <v>9</v>
      </c>
      <c r="W24" s="16" t="s">
        <v>6</v>
      </c>
      <c r="X24" s="16" t="s">
        <v>8</v>
      </c>
      <c r="Y24" s="16" t="s">
        <v>79</v>
      </c>
      <c r="Z24" s="16" t="s">
        <v>16</v>
      </c>
      <c r="AA24" s="16" t="s">
        <v>16</v>
      </c>
      <c r="AB24" s="16" t="s">
        <v>16</v>
      </c>
    </row>
    <row r="25" spans="1:28" x14ac:dyDescent="0.25">
      <c r="A25" s="16" t="s">
        <v>86</v>
      </c>
      <c r="B25" s="17" t="str">
        <f>IFERROR(VLOOKUP(Results!$A25,'Columns B to F vlookup table'!$A$4:$I$21,3,FALSE),"")</f>
        <v>BAF-3</v>
      </c>
      <c r="C25" s="17" t="s">
        <v>24</v>
      </c>
      <c r="D25" s="17" t="str">
        <f>IFERROR(VLOOKUP(Results!$A25,'Columns B to F vlookup table'!$A$4:$I$21,7,FALSE),"")</f>
        <v>Summit</v>
      </c>
      <c r="E25" s="17" t="str">
        <f>IFERROR(VLOOKUP(Results!$A25,'Columns B to F vlookup table'!$A$4:$I$21,8,FALSE),"")</f>
        <v xml:space="preserve"> 63°20'23.21"N</v>
      </c>
      <c r="F25" s="17" t="str">
        <f>IFERROR(VLOOKUP(Results!$A25,'Columns B to F vlookup table'!$A$4:$I$21,9,FALSE),"")</f>
        <v xml:space="preserve"> 64° 9'17.92"W</v>
      </c>
      <c r="G25" s="16"/>
      <c r="H25" s="16"/>
      <c r="I25" s="16"/>
      <c r="J25" s="18">
        <v>40735</v>
      </c>
      <c r="K25" s="18"/>
      <c r="L25" s="18"/>
      <c r="M25" s="16">
        <v>6.06</v>
      </c>
      <c r="N25" s="16" t="s">
        <v>13</v>
      </c>
      <c r="O25" s="16" t="s">
        <v>79</v>
      </c>
      <c r="P25" s="16" t="s">
        <v>6</v>
      </c>
      <c r="Q25" s="16">
        <v>1</v>
      </c>
      <c r="R25" s="16" t="s">
        <v>7</v>
      </c>
      <c r="S25" s="16">
        <v>2</v>
      </c>
      <c r="T25" s="16">
        <v>3</v>
      </c>
      <c r="U25" s="16" t="s">
        <v>6</v>
      </c>
      <c r="V25" s="19" t="s">
        <v>9</v>
      </c>
      <c r="W25" s="16" t="s">
        <v>6</v>
      </c>
      <c r="X25" s="16">
        <f>0.008*1000</f>
        <v>8</v>
      </c>
      <c r="Y25" s="16" t="s">
        <v>79</v>
      </c>
      <c r="Z25" s="16" t="s">
        <v>16</v>
      </c>
      <c r="AA25" s="16">
        <v>1.4</v>
      </c>
      <c r="AB25" s="16" t="s">
        <v>16</v>
      </c>
    </row>
    <row r="26" spans="1:28" x14ac:dyDescent="0.25">
      <c r="A26" s="16" t="s">
        <v>67</v>
      </c>
      <c r="B26" s="17" t="str">
        <f>IFERROR(VLOOKUP(Results!$A26,'Columns B to F vlookup table'!$A$4:$I$21,3,FALSE),"")</f>
        <v>DYE-M</v>
      </c>
      <c r="C26" s="17" t="s">
        <v>27</v>
      </c>
      <c r="D26" s="17" t="str">
        <f>IFERROR(VLOOKUP(Results!$A26,'Columns B to F vlookup table'!$A$4:$I$21,7,FALSE),"")</f>
        <v>Summit</v>
      </c>
      <c r="E26" s="17" t="str">
        <f>IFERROR(VLOOKUP(Results!$A26,'Columns B to F vlookup table'!$A$4:$I$21,8,FALSE),"")</f>
        <v xml:space="preserve"> 66°40'0.13"N</v>
      </c>
      <c r="F26" s="17" t="str">
        <f>IFERROR(VLOOKUP(Results!$A26,'Columns B to F vlookup table'!$A$4:$I$21,9,FALSE),"")</f>
        <v xml:space="preserve"> 61°21'25.76"W</v>
      </c>
      <c r="G26" s="16"/>
      <c r="H26" s="16"/>
      <c r="I26" s="16"/>
      <c r="J26" s="20">
        <v>40736</v>
      </c>
      <c r="K26" s="20"/>
      <c r="L26" s="20"/>
      <c r="M26" s="16">
        <v>6.38</v>
      </c>
      <c r="N26" s="16" t="s">
        <v>13</v>
      </c>
      <c r="O26" s="16" t="s">
        <v>79</v>
      </c>
      <c r="P26" s="16" t="s">
        <v>6</v>
      </c>
      <c r="Q26" s="16" t="s">
        <v>8</v>
      </c>
      <c r="R26" s="16" t="s">
        <v>7</v>
      </c>
      <c r="S26" s="16">
        <v>4</v>
      </c>
      <c r="T26" s="16" t="s">
        <v>8</v>
      </c>
      <c r="U26" s="16" t="s">
        <v>6</v>
      </c>
      <c r="V26" s="16" t="s">
        <v>9</v>
      </c>
      <c r="W26" s="19" t="s">
        <v>6</v>
      </c>
      <c r="X26" s="16" t="s">
        <v>8</v>
      </c>
      <c r="Y26" s="16" t="s">
        <v>79</v>
      </c>
      <c r="Z26" s="16" t="s">
        <v>16</v>
      </c>
      <c r="AA26" s="16" t="s">
        <v>16</v>
      </c>
      <c r="AB26" s="16" t="s">
        <v>16</v>
      </c>
    </row>
    <row r="27" spans="1:28" x14ac:dyDescent="0.25">
      <c r="A27" s="16" t="s">
        <v>62</v>
      </c>
      <c r="B27" s="17" t="str">
        <f>IFERROR(VLOOKUP(Results!$A27,'Columns B to F vlookup table'!$A$4:$I$21,3,FALSE),"")</f>
        <v>FOX-M</v>
      </c>
      <c r="C27" s="17" t="s">
        <v>26</v>
      </c>
      <c r="D27" s="17" t="str">
        <f>IFERROR(VLOOKUP(Results!$A27,'Columns B to F vlookup table'!$A$4:$I$21,7,FALSE),"")</f>
        <v>Summit</v>
      </c>
      <c r="E27" s="17" t="str">
        <f>IFERROR(VLOOKUP(Results!$A27,'Columns B to F vlookup table'!$A$4:$I$21,8,FALSE),"")</f>
        <v xml:space="preserve"> 68°45'42.24"N</v>
      </c>
      <c r="F27" s="17" t="str">
        <f>IFERROR(VLOOKUP(Results!$A27,'Columns B to F vlookup table'!$A$4:$I$21,9,FALSE),"")</f>
        <v xml:space="preserve"> 81°13'25.04"W</v>
      </c>
      <c r="G27" s="16"/>
      <c r="H27" s="16"/>
      <c r="I27" s="16"/>
      <c r="J27" s="21">
        <v>40737</v>
      </c>
      <c r="K27" s="21"/>
      <c r="L27" s="21"/>
      <c r="M27" s="16">
        <v>8.01</v>
      </c>
      <c r="N27" s="16" t="s">
        <v>13</v>
      </c>
      <c r="O27" s="16" t="s">
        <v>79</v>
      </c>
      <c r="P27" s="16" t="s">
        <v>6</v>
      </c>
      <c r="Q27" s="16">
        <v>3</v>
      </c>
      <c r="R27" s="16" t="s">
        <v>7</v>
      </c>
      <c r="S27" s="16">
        <v>1</v>
      </c>
      <c r="T27" s="16" t="s">
        <v>8</v>
      </c>
      <c r="U27" s="16" t="s">
        <v>6</v>
      </c>
      <c r="V27" s="16" t="s">
        <v>9</v>
      </c>
      <c r="W27" s="19" t="s">
        <v>6</v>
      </c>
      <c r="X27" s="16" t="s">
        <v>8</v>
      </c>
      <c r="Y27" s="16" t="s">
        <v>79</v>
      </c>
      <c r="Z27" s="16" t="s">
        <v>16</v>
      </c>
      <c r="AA27" s="16" t="s">
        <v>16</v>
      </c>
      <c r="AB27" s="16" t="s">
        <v>16</v>
      </c>
    </row>
    <row r="28" spans="1:28" x14ac:dyDescent="0.25">
      <c r="A28" s="16" t="s">
        <v>61</v>
      </c>
      <c r="B28" s="17" t="str">
        <f>IFERROR(VLOOKUP(Results!$A28,'Columns B to F vlookup table'!$A$4:$I$21,3,FALSE),"")</f>
        <v>FOX-M</v>
      </c>
      <c r="C28" s="17" t="s">
        <v>26</v>
      </c>
      <c r="D28" s="17" t="str">
        <f>IFERROR(VLOOKUP(Results!$A28,'Columns B to F vlookup table'!$A$4:$I$21,7,FALSE),"")</f>
        <v>Summit</v>
      </c>
      <c r="E28" s="17" t="str">
        <f>IFERROR(VLOOKUP(Results!$A28,'Columns B to F vlookup table'!$A$4:$I$21,8,FALSE),"")</f>
        <v xml:space="preserve"> 68°45'43.00"N</v>
      </c>
      <c r="F28" s="17" t="str">
        <f>IFERROR(VLOOKUP(Results!$A28,'Columns B to F vlookup table'!$A$4:$I$21,9,FALSE),"")</f>
        <v xml:space="preserve"> 81°13'27.27"W</v>
      </c>
      <c r="G28" s="16"/>
      <c r="H28" s="16"/>
      <c r="I28" s="16"/>
      <c r="J28" s="21">
        <v>40737</v>
      </c>
      <c r="K28" s="21"/>
      <c r="L28" s="21"/>
      <c r="M28" s="19">
        <v>8.0500000000000007</v>
      </c>
      <c r="N28" s="16" t="s">
        <v>13</v>
      </c>
      <c r="O28" s="16" t="s">
        <v>79</v>
      </c>
      <c r="P28" s="16" t="s">
        <v>6</v>
      </c>
      <c r="Q28" s="16">
        <v>2</v>
      </c>
      <c r="R28" s="16" t="s">
        <v>7</v>
      </c>
      <c r="S28" s="16">
        <v>2</v>
      </c>
      <c r="T28" s="16" t="s">
        <v>8</v>
      </c>
      <c r="U28" s="16" t="s">
        <v>6</v>
      </c>
      <c r="V28" s="16" t="s">
        <v>9</v>
      </c>
      <c r="W28" s="19" t="s">
        <v>6</v>
      </c>
      <c r="X28" s="16" t="s">
        <v>8</v>
      </c>
      <c r="Y28" s="16" t="s">
        <v>79</v>
      </c>
      <c r="Z28" s="16" t="s">
        <v>16</v>
      </c>
      <c r="AA28" s="16" t="s">
        <v>16</v>
      </c>
      <c r="AB28" s="16" t="s">
        <v>16</v>
      </c>
    </row>
    <row r="29" spans="1:28" x14ac:dyDescent="0.25">
      <c r="A29" s="16" t="s">
        <v>60</v>
      </c>
      <c r="B29" s="17" t="str">
        <f>IFERROR(VLOOKUP(Results!$A29,'Columns B to F vlookup table'!$A$4:$I$21,3,FALSE),"")</f>
        <v>FOX-M</v>
      </c>
      <c r="C29" s="17" t="s">
        <v>26</v>
      </c>
      <c r="D29" s="17" t="str">
        <f>IFERROR(VLOOKUP(Results!$A29,'Columns B to F vlookup table'!$A$4:$I$21,7,FALSE),"")</f>
        <v>Airstrip</v>
      </c>
      <c r="E29" s="17" t="str">
        <f>IFERROR(VLOOKUP(Results!$A29,'Columns B to F vlookup table'!$A$4:$I$21,8,FALSE),"")</f>
        <v xml:space="preserve"> 68°46'15.85"N</v>
      </c>
      <c r="F29" s="17" t="str">
        <f>IFERROR(VLOOKUP(Results!$A29,'Columns B to F vlookup table'!$A$4:$I$21,9,FALSE),"")</f>
        <v xml:space="preserve"> 81°13'58.33"W</v>
      </c>
      <c r="G29" s="16"/>
      <c r="H29" s="16"/>
      <c r="I29" s="16"/>
      <c r="J29" s="21">
        <v>40737</v>
      </c>
      <c r="K29" s="21"/>
      <c r="L29" s="21"/>
      <c r="M29" s="16">
        <v>7.92</v>
      </c>
      <c r="N29" s="16" t="s">
        <v>13</v>
      </c>
      <c r="O29" s="16" t="s">
        <v>79</v>
      </c>
      <c r="P29" s="16" t="s">
        <v>6</v>
      </c>
      <c r="Q29" s="16">
        <v>2</v>
      </c>
      <c r="R29" s="16" t="s">
        <v>7</v>
      </c>
      <c r="S29" s="16">
        <v>2</v>
      </c>
      <c r="T29" s="16" t="s">
        <v>8</v>
      </c>
      <c r="U29" s="16" t="s">
        <v>6</v>
      </c>
      <c r="V29" s="16" t="s">
        <v>9</v>
      </c>
      <c r="W29" s="19" t="s">
        <v>6</v>
      </c>
      <c r="X29" s="16" t="s">
        <v>8</v>
      </c>
      <c r="Y29" s="16" t="s">
        <v>79</v>
      </c>
      <c r="Z29" s="16" t="s">
        <v>16</v>
      </c>
      <c r="AA29" s="16" t="s">
        <v>16</v>
      </c>
      <c r="AB29" s="16" t="s">
        <v>16</v>
      </c>
    </row>
    <row r="30" spans="1:28" x14ac:dyDescent="0.25">
      <c r="A30" s="16" t="s">
        <v>58</v>
      </c>
      <c r="B30" s="17" t="str">
        <f>IFERROR(VLOOKUP(Results!$A30,'Columns B to F vlookup table'!$A$4:$I$21,3,FALSE),"")</f>
        <v>FOX-M</v>
      </c>
      <c r="C30" s="17" t="s">
        <v>26</v>
      </c>
      <c r="D30" s="17" t="str">
        <f>IFERROR(VLOOKUP(Results!$A30,'Columns B to F vlookup table'!$A$4:$I$21,7,FALSE),"")</f>
        <v>Beach</v>
      </c>
      <c r="E30" s="17" t="str">
        <f>IFERROR(VLOOKUP(Results!$A30,'Columns B to F vlookup table'!$A$4:$I$21,8,FALSE),"")</f>
        <v xml:space="preserve"> 68°46'23.75"N</v>
      </c>
      <c r="F30" s="17" t="str">
        <f>IFERROR(VLOOKUP(Results!$A30,'Columns B to F vlookup table'!$A$4:$I$21,9,FALSE),"")</f>
        <v xml:space="preserve"> 81°12'46.12"W</v>
      </c>
      <c r="G30" s="16"/>
      <c r="H30" s="16"/>
      <c r="I30" s="16"/>
      <c r="J30" s="21">
        <v>40737</v>
      </c>
      <c r="K30" s="21"/>
      <c r="L30" s="21"/>
      <c r="M30" s="16">
        <v>7.93</v>
      </c>
      <c r="N30" s="16" t="s">
        <v>13</v>
      </c>
      <c r="O30" s="16" t="s">
        <v>79</v>
      </c>
      <c r="P30" s="16" t="s">
        <v>6</v>
      </c>
      <c r="Q30" s="16">
        <v>2</v>
      </c>
      <c r="R30" s="16" t="s">
        <v>7</v>
      </c>
      <c r="S30" s="16">
        <v>2</v>
      </c>
      <c r="T30" s="16" t="s">
        <v>8</v>
      </c>
      <c r="U30" s="16" t="s">
        <v>6</v>
      </c>
      <c r="V30" s="16" t="s">
        <v>9</v>
      </c>
      <c r="W30" s="19" t="s">
        <v>6</v>
      </c>
      <c r="X30" s="16" t="s">
        <v>8</v>
      </c>
      <c r="Y30" s="16" t="s">
        <v>79</v>
      </c>
      <c r="Z30" s="16" t="s">
        <v>16</v>
      </c>
      <c r="AA30" s="16" t="s">
        <v>16</v>
      </c>
      <c r="AB30" s="16" t="s">
        <v>16</v>
      </c>
    </row>
    <row r="31" spans="1:28" x14ac:dyDescent="0.25">
      <c r="A31" s="16" t="s">
        <v>59</v>
      </c>
      <c r="B31" s="17" t="str">
        <f>IFERROR(VLOOKUP(Results!$A31,'Columns B to F vlookup table'!$A$4:$I$21,3,FALSE),"")</f>
        <v>FOX-M</v>
      </c>
      <c r="C31" s="17" t="s">
        <v>26</v>
      </c>
      <c r="D31" s="17" t="str">
        <f>IFERROR(VLOOKUP(Results!$A31,'Columns B to F vlookup table'!$A$4:$I$21,7,FALSE),"")</f>
        <v>Beach</v>
      </c>
      <c r="E31" s="17" t="str">
        <f>IFERROR(VLOOKUP(Results!$A31,'Columns B to F vlookup table'!$A$4:$I$21,8,FALSE),"")</f>
        <v xml:space="preserve"> 68°46'23.93"N</v>
      </c>
      <c r="F31" s="17" t="str">
        <f>IFERROR(VLOOKUP(Results!$A31,'Columns B to F vlookup table'!$A$4:$I$21,9,FALSE),"")</f>
        <v xml:space="preserve"> 81°12'51.11"W</v>
      </c>
      <c r="G31" s="16"/>
      <c r="H31" s="16"/>
      <c r="I31" s="16"/>
      <c r="J31" s="21">
        <v>40737</v>
      </c>
      <c r="K31" s="21"/>
      <c r="L31" s="21"/>
      <c r="M31" s="16">
        <v>7.88</v>
      </c>
      <c r="N31" s="16" t="s">
        <v>13</v>
      </c>
      <c r="O31" s="16" t="s">
        <v>79</v>
      </c>
      <c r="P31" s="16" t="s">
        <v>6</v>
      </c>
      <c r="Q31" s="16">
        <v>2</v>
      </c>
      <c r="R31" s="16" t="s">
        <v>7</v>
      </c>
      <c r="S31" s="16">
        <v>6</v>
      </c>
      <c r="T31" s="16" t="s">
        <v>8</v>
      </c>
      <c r="U31" s="16" t="s">
        <v>6</v>
      </c>
      <c r="V31" s="16" t="s">
        <v>9</v>
      </c>
      <c r="W31" s="19" t="s">
        <v>6</v>
      </c>
      <c r="X31" s="16" t="s">
        <v>8</v>
      </c>
      <c r="Y31" s="16" t="s">
        <v>79</v>
      </c>
      <c r="Z31" s="16" t="s">
        <v>16</v>
      </c>
      <c r="AA31" s="16" t="s">
        <v>16</v>
      </c>
      <c r="AB31" s="16" t="s">
        <v>16</v>
      </c>
    </row>
    <row r="32" spans="1:28" x14ac:dyDescent="0.25">
      <c r="A32" s="16" t="s">
        <v>83</v>
      </c>
      <c r="B32" s="17" t="str">
        <f>IFERROR(VLOOKUP(Results!$A32,'Columns B to F vlookup table'!$A$4:$I$21,3,FALSE),"")</f>
        <v>FOX-3</v>
      </c>
      <c r="C32" s="17" t="s">
        <v>25</v>
      </c>
      <c r="D32" s="17" t="str">
        <f>IFERROR(VLOOKUP(Results!$A32,'Columns B to F vlookup table'!$A$4:$I$21,7,FALSE),"")</f>
        <v>Airstrip</v>
      </c>
      <c r="E32" s="17" t="str">
        <f>IFERROR(VLOOKUP(Results!$A32,'Columns B to F vlookup table'!$A$4:$I$21,8,FALSE),"")</f>
        <v xml:space="preserve"> 68°37'26.59"N</v>
      </c>
      <c r="F32" s="17" t="str">
        <f>IFERROR(VLOOKUP(Results!$A32,'Columns B to F vlookup table'!$A$4:$I$21,9,FALSE),"")</f>
        <v xml:space="preserve"> 71°8'23.67"W</v>
      </c>
      <c r="G32" s="16"/>
      <c r="H32" s="16"/>
      <c r="I32" s="16"/>
      <c r="J32" s="20">
        <v>40737</v>
      </c>
      <c r="K32" s="20"/>
      <c r="L32" s="20"/>
      <c r="M32" s="16">
        <v>6</v>
      </c>
      <c r="N32" s="16" t="s">
        <v>13</v>
      </c>
      <c r="O32" s="16" t="s">
        <v>79</v>
      </c>
      <c r="P32" s="16" t="s">
        <v>80</v>
      </c>
      <c r="Q32" s="16" t="s">
        <v>79</v>
      </c>
      <c r="R32" s="16" t="s">
        <v>80</v>
      </c>
      <c r="S32" s="16" t="s">
        <v>80</v>
      </c>
      <c r="T32" s="16" t="s">
        <v>8</v>
      </c>
      <c r="U32" s="16">
        <v>0.1</v>
      </c>
      <c r="V32" s="16">
        <v>20</v>
      </c>
      <c r="W32" s="19" t="s">
        <v>6</v>
      </c>
      <c r="X32" s="16" t="s">
        <v>8</v>
      </c>
      <c r="Y32" s="16">
        <v>110</v>
      </c>
      <c r="Z32" s="16" t="s">
        <v>16</v>
      </c>
      <c r="AA32" s="16" t="s">
        <v>16</v>
      </c>
      <c r="AB32" s="16" t="s">
        <v>16</v>
      </c>
    </row>
    <row r="33" spans="1:28" x14ac:dyDescent="0.25">
      <c r="A33" s="16" t="s">
        <v>66</v>
      </c>
      <c r="B33" s="17" t="str">
        <f>IFERROR(VLOOKUP(Results!$A33,'Columns B to F vlookup table'!$A$4:$I$21,3,FALSE),"")</f>
        <v>DYE-M</v>
      </c>
      <c r="C33" s="17" t="s">
        <v>27</v>
      </c>
      <c r="D33" s="17" t="str">
        <f>IFERROR(VLOOKUP(Results!$A33,'Columns B to F vlookup table'!$A$4:$I$21,7,FALSE),"")</f>
        <v>Summit</v>
      </c>
      <c r="E33" s="17" t="str">
        <f>IFERROR(VLOOKUP(Results!$A33,'Columns B to F vlookup table'!$A$4:$I$21,8,FALSE),"")</f>
        <v xml:space="preserve"> 66°39'53.59"N</v>
      </c>
      <c r="F33" s="17" t="str">
        <f>IFERROR(VLOOKUP(Results!$A33,'Columns B to F vlookup table'!$A$4:$I$21,9,FALSE),"")</f>
        <v xml:space="preserve"> 61°21'23.78"W</v>
      </c>
      <c r="G33" s="16"/>
      <c r="H33" s="16"/>
      <c r="I33" s="16"/>
      <c r="J33" s="20">
        <v>40744</v>
      </c>
      <c r="K33" s="20"/>
      <c r="L33" s="20"/>
      <c r="M33" s="16">
        <v>6.3</v>
      </c>
      <c r="N33" s="16" t="s">
        <v>13</v>
      </c>
      <c r="O33" s="16" t="s">
        <v>79</v>
      </c>
      <c r="P33" s="16" t="s">
        <v>6</v>
      </c>
      <c r="Q33" s="16" t="s">
        <v>8</v>
      </c>
      <c r="R33" s="16" t="s">
        <v>7</v>
      </c>
      <c r="S33" s="16">
        <v>2</v>
      </c>
      <c r="T33" s="16" t="s">
        <v>8</v>
      </c>
      <c r="U33" s="16" t="s">
        <v>6</v>
      </c>
      <c r="V33" s="16" t="s">
        <v>9</v>
      </c>
      <c r="W33" s="19" t="s">
        <v>6</v>
      </c>
      <c r="X33" s="16" t="s">
        <v>8</v>
      </c>
      <c r="Y33" s="16">
        <v>100</v>
      </c>
      <c r="Z33" s="16" t="s">
        <v>16</v>
      </c>
      <c r="AA33" s="16" t="s">
        <v>16</v>
      </c>
      <c r="AB33" s="16" t="s">
        <v>16</v>
      </c>
    </row>
    <row r="34" spans="1:28" x14ac:dyDescent="0.25">
      <c r="A34" s="16" t="s">
        <v>65</v>
      </c>
      <c r="B34" s="17" t="str">
        <f>IFERROR(VLOOKUP(Results!$A34,'Columns B to F vlookup table'!$A$4:$I$21,3,FALSE),"")</f>
        <v>FOX-3</v>
      </c>
      <c r="C34" s="17" t="s">
        <v>25</v>
      </c>
      <c r="D34" s="17" t="str">
        <f>IFERROR(VLOOKUP(Results!$A34,'Columns B to F vlookup table'!$A$4:$I$21,7,FALSE),"")</f>
        <v>Airstrip</v>
      </c>
      <c r="E34" s="17" t="str">
        <f>IFERROR(VLOOKUP(Results!$A34,'Columns B to F vlookup table'!$A$4:$I$21,8,FALSE),"")</f>
        <v xml:space="preserve"> 68°37'24.90"N</v>
      </c>
      <c r="F34" s="17" t="str">
        <f>IFERROR(VLOOKUP(Results!$A34,'Columns B to F vlookup table'!$A$4:$I$21,9,FALSE),"")</f>
        <v xml:space="preserve"> 71° 8'5.62"W</v>
      </c>
      <c r="G34" s="16"/>
      <c r="H34" s="16"/>
      <c r="I34" s="16"/>
      <c r="J34" s="20">
        <v>40751</v>
      </c>
      <c r="K34" s="20"/>
      <c r="L34" s="20"/>
      <c r="M34" s="19">
        <v>5.98</v>
      </c>
      <c r="N34" s="16" t="s">
        <v>13</v>
      </c>
      <c r="O34" s="16" t="s">
        <v>79</v>
      </c>
      <c r="P34" s="16">
        <v>0.3</v>
      </c>
      <c r="Q34" s="16" t="s">
        <v>8</v>
      </c>
      <c r="R34" s="16">
        <v>2.5</v>
      </c>
      <c r="S34" s="16">
        <v>2</v>
      </c>
      <c r="T34" s="16" t="s">
        <v>8</v>
      </c>
      <c r="U34" s="16">
        <v>0.1</v>
      </c>
      <c r="V34" s="16">
        <v>29</v>
      </c>
      <c r="W34" s="19" t="s">
        <v>6</v>
      </c>
      <c r="X34" s="16" t="s">
        <v>8</v>
      </c>
      <c r="Y34" s="16">
        <v>200</v>
      </c>
      <c r="Z34" s="16" t="s">
        <v>16</v>
      </c>
      <c r="AA34" s="16" t="s">
        <v>16</v>
      </c>
      <c r="AB34" s="16" t="s">
        <v>16</v>
      </c>
    </row>
    <row r="35" spans="1:28" x14ac:dyDescent="0.25">
      <c r="A35" s="16" t="s">
        <v>70</v>
      </c>
      <c r="B35" s="17" t="str">
        <f>IFERROR(VLOOKUP(Results!$A35,'Columns B to F vlookup table'!$A$4:$I$21,3,FALSE),"")</f>
        <v>CAM-M</v>
      </c>
      <c r="C35" s="17" t="s">
        <v>23</v>
      </c>
      <c r="D35" s="17" t="str">
        <f>IFERROR(VLOOKUP(Results!$A35,'Columns B to F vlookup table'!$A$4:$I$21,7,FALSE),"")</f>
        <v>Summit</v>
      </c>
      <c r="E35" s="17" t="str">
        <f>IFERROR(VLOOKUP(Results!$A35,'Columns B to F vlookup table'!$A$4:$I$21,8,FALSE),"")</f>
        <v xml:space="preserve"> 69° 7'2.76"N</v>
      </c>
      <c r="F35" s="17" t="str">
        <f>IFERROR(VLOOKUP(Results!$A35,'Columns B to F vlookup table'!$A$4:$I$21,9,FALSE),"")</f>
        <v>105° 7'2.69"W</v>
      </c>
      <c r="G35" s="16"/>
      <c r="H35" s="16"/>
      <c r="I35" s="16"/>
      <c r="J35" s="18">
        <v>41065</v>
      </c>
      <c r="K35" s="18"/>
      <c r="L35" s="18"/>
      <c r="M35" s="16">
        <v>7.62</v>
      </c>
      <c r="N35" s="16">
        <v>1000</v>
      </c>
      <c r="O35" s="16" t="s">
        <v>79</v>
      </c>
      <c r="P35" s="16" t="s">
        <v>6</v>
      </c>
      <c r="Q35" s="16" t="s">
        <v>8</v>
      </c>
      <c r="R35" s="16">
        <v>0.5</v>
      </c>
      <c r="S35" s="16">
        <v>21</v>
      </c>
      <c r="T35" s="16" t="s">
        <v>8</v>
      </c>
      <c r="U35" s="16" t="s">
        <v>6</v>
      </c>
      <c r="V35" s="16" t="s">
        <v>9</v>
      </c>
      <c r="W35" s="19" t="s">
        <v>6</v>
      </c>
      <c r="X35" s="16" t="s">
        <v>8</v>
      </c>
      <c r="Y35" s="16">
        <v>80</v>
      </c>
      <c r="Z35" s="16" t="s">
        <v>16</v>
      </c>
      <c r="AA35" s="16" t="s">
        <v>16</v>
      </c>
      <c r="AB35" s="16" t="s">
        <v>16</v>
      </c>
    </row>
    <row r="36" spans="1:28" x14ac:dyDescent="0.25">
      <c r="A36" s="16" t="s">
        <v>73</v>
      </c>
      <c r="B36" s="17" t="str">
        <f>IFERROR(VLOOKUP(Results!$A36,'Columns B to F vlookup table'!$A$4:$I$21,3,FALSE),"")</f>
        <v>CAM-M</v>
      </c>
      <c r="C36" s="17" t="s">
        <v>23</v>
      </c>
      <c r="D36" s="17" t="str">
        <f>IFERROR(VLOOKUP(Results!$A36,'Columns B to F vlookup table'!$A$4:$I$21,7,FALSE),"")</f>
        <v>Airstrip</v>
      </c>
      <c r="E36" s="17" t="str">
        <f>IFERROR(VLOOKUP(Results!$A36,'Columns B to F vlookup table'!$A$4:$I$21,8,FALSE),"")</f>
        <v xml:space="preserve"> 69° 6'12.01"N</v>
      </c>
      <c r="F36" s="17" t="str">
        <f>IFERROR(VLOOKUP(Results!$A36,'Columns B to F vlookup table'!$A$4:$I$21,9,FALSE),"")</f>
        <v>105° 7'36.60"W</v>
      </c>
      <c r="G36" s="16"/>
      <c r="H36" s="16"/>
      <c r="I36" s="16"/>
      <c r="J36" s="18">
        <v>41065</v>
      </c>
      <c r="K36" s="18"/>
      <c r="L36" s="18"/>
      <c r="M36" s="16">
        <v>7.59</v>
      </c>
      <c r="N36" s="16" t="s">
        <v>13</v>
      </c>
      <c r="O36" s="16" t="s">
        <v>79</v>
      </c>
      <c r="P36" s="16" t="s">
        <v>6</v>
      </c>
      <c r="Q36" s="16" t="s">
        <v>8</v>
      </c>
      <c r="R36" s="16">
        <v>0.5</v>
      </c>
      <c r="S36" s="16">
        <v>2</v>
      </c>
      <c r="T36" s="16" t="s">
        <v>8</v>
      </c>
      <c r="U36" s="16" t="s">
        <v>6</v>
      </c>
      <c r="V36" s="16" t="s">
        <v>9</v>
      </c>
      <c r="W36" s="19" t="s">
        <v>6</v>
      </c>
      <c r="X36" s="16" t="s">
        <v>8</v>
      </c>
      <c r="Y36" s="16" t="s">
        <v>79</v>
      </c>
      <c r="Z36" s="16" t="s">
        <v>16</v>
      </c>
      <c r="AA36" s="16" t="s">
        <v>16</v>
      </c>
      <c r="AB36" s="16" t="s">
        <v>16</v>
      </c>
    </row>
    <row r="37" spans="1:28" x14ac:dyDescent="0.25">
      <c r="A37" s="16" t="s">
        <v>74</v>
      </c>
      <c r="B37" s="17" t="str">
        <f>IFERROR(VLOOKUP(Results!$A37,'Columns B to F vlookup table'!$A$4:$I$21,3,FALSE),"")</f>
        <v>CAM-M</v>
      </c>
      <c r="C37" s="17" t="s">
        <v>23</v>
      </c>
      <c r="D37" s="17" t="str">
        <f>IFERROR(VLOOKUP(Results!$A37,'Columns B to F vlookup table'!$A$4:$I$21,7,FALSE),"")</f>
        <v>Beach</v>
      </c>
      <c r="E37" s="17" t="str">
        <f>IFERROR(VLOOKUP(Results!$A37,'Columns B to F vlookup table'!$A$4:$I$21,8,FALSE),"")</f>
        <v xml:space="preserve"> 69° 6'11.41"N</v>
      </c>
      <c r="F37" s="17" t="str">
        <f>IFERROR(VLOOKUP(Results!$A37,'Columns B to F vlookup table'!$A$4:$I$21,9,FALSE),"")</f>
        <v>105° 5'50.26"W</v>
      </c>
      <c r="G37" s="16"/>
      <c r="H37" s="16"/>
      <c r="I37" s="16"/>
      <c r="J37" s="18">
        <v>41065</v>
      </c>
      <c r="K37" s="18"/>
      <c r="L37" s="18"/>
      <c r="M37" s="16">
        <v>7.6</v>
      </c>
      <c r="N37" s="16" t="s">
        <v>13</v>
      </c>
      <c r="O37" s="16" t="s">
        <v>79</v>
      </c>
      <c r="P37" s="16" t="s">
        <v>6</v>
      </c>
      <c r="Q37" s="16">
        <v>2</v>
      </c>
      <c r="R37" s="16" t="s">
        <v>7</v>
      </c>
      <c r="S37" s="16">
        <v>9</v>
      </c>
      <c r="T37" s="16" t="s">
        <v>8</v>
      </c>
      <c r="U37" s="16" t="s">
        <v>6</v>
      </c>
      <c r="V37" s="16" t="s">
        <v>9</v>
      </c>
      <c r="W37" s="19" t="s">
        <v>6</v>
      </c>
      <c r="X37" s="16" t="s">
        <v>8</v>
      </c>
      <c r="Y37" s="16" t="s">
        <v>79</v>
      </c>
      <c r="Z37" s="16" t="s">
        <v>16</v>
      </c>
      <c r="AA37" s="16" t="s">
        <v>16</v>
      </c>
      <c r="AB37" s="16" t="s">
        <v>16</v>
      </c>
    </row>
    <row r="38" spans="1:28" x14ac:dyDescent="0.25">
      <c r="A38" s="16" t="s">
        <v>67</v>
      </c>
      <c r="B38" s="17" t="str">
        <f>IFERROR(VLOOKUP(Results!$A38,'Columns B to F vlookup table'!$A$4:$I$21,3,FALSE),"")</f>
        <v>DYE-M</v>
      </c>
      <c r="C38" s="17" t="s">
        <v>27</v>
      </c>
      <c r="D38" s="17" t="str">
        <f>IFERROR(VLOOKUP(Results!$A38,'Columns B to F vlookup table'!$A$4:$I$21,7,FALSE),"")</f>
        <v>Summit</v>
      </c>
      <c r="E38" s="17" t="str">
        <f>IFERROR(VLOOKUP(Results!$A38,'Columns B to F vlookup table'!$A$4:$I$21,8,FALSE),"")</f>
        <v xml:space="preserve"> 66°40'0.13"N</v>
      </c>
      <c r="F38" s="17" t="str">
        <f>IFERROR(VLOOKUP(Results!$A38,'Columns B to F vlookup table'!$A$4:$I$21,9,FALSE),"")</f>
        <v xml:space="preserve"> 61°21'25.76"W</v>
      </c>
      <c r="G38" s="16"/>
      <c r="H38" s="16"/>
      <c r="I38" s="16"/>
      <c r="J38" s="20">
        <v>41072</v>
      </c>
      <c r="K38" s="20"/>
      <c r="L38" s="20"/>
      <c r="M38" s="16">
        <v>6.96</v>
      </c>
      <c r="N38" s="16" t="s">
        <v>13</v>
      </c>
      <c r="O38" s="16" t="s">
        <v>79</v>
      </c>
      <c r="P38" s="16" t="s">
        <v>6</v>
      </c>
      <c r="Q38" s="16" t="s">
        <v>8</v>
      </c>
      <c r="R38" s="16" t="s">
        <v>7</v>
      </c>
      <c r="S38" s="16">
        <v>2</v>
      </c>
      <c r="T38" s="16" t="s">
        <v>8</v>
      </c>
      <c r="U38" s="16" t="s">
        <v>6</v>
      </c>
      <c r="V38" s="16" t="s">
        <v>9</v>
      </c>
      <c r="W38" s="19" t="s">
        <v>6</v>
      </c>
      <c r="X38" s="16" t="s">
        <v>8</v>
      </c>
      <c r="Y38" s="16" t="s">
        <v>79</v>
      </c>
      <c r="Z38" s="16" t="s">
        <v>16</v>
      </c>
      <c r="AA38" s="16" t="s">
        <v>16</v>
      </c>
      <c r="AB38" s="16" t="s">
        <v>16</v>
      </c>
    </row>
    <row r="39" spans="1:28" x14ac:dyDescent="0.25">
      <c r="A39" s="16" t="s">
        <v>62</v>
      </c>
      <c r="B39" s="17" t="str">
        <f>IFERROR(VLOOKUP(Results!$A39,'Columns B to F vlookup table'!$A$4:$I$21,3,FALSE),"")</f>
        <v>FOX-M</v>
      </c>
      <c r="C39" s="17" t="s">
        <v>26</v>
      </c>
      <c r="D39" s="17" t="str">
        <f>IFERROR(VLOOKUP(Results!$A39,'Columns B to F vlookup table'!$A$4:$I$21,7,FALSE),"")</f>
        <v>Summit</v>
      </c>
      <c r="E39" s="17" t="str">
        <f>IFERROR(VLOOKUP(Results!$A39,'Columns B to F vlookup table'!$A$4:$I$21,8,FALSE),"")</f>
        <v xml:space="preserve"> 68°45'42.24"N</v>
      </c>
      <c r="F39" s="17" t="str">
        <f>IFERROR(VLOOKUP(Results!$A39,'Columns B to F vlookup table'!$A$4:$I$21,9,FALSE),"")</f>
        <v xml:space="preserve"> 81°13'25.04"W</v>
      </c>
      <c r="G39" s="16"/>
      <c r="H39" s="16"/>
      <c r="I39" s="16"/>
      <c r="J39" s="21">
        <v>41076</v>
      </c>
      <c r="K39" s="21"/>
      <c r="L39" s="21"/>
      <c r="M39" s="16">
        <v>7.92</v>
      </c>
      <c r="N39" s="16" t="s">
        <v>13</v>
      </c>
      <c r="O39" s="16" t="s">
        <v>79</v>
      </c>
      <c r="P39" s="16" t="s">
        <v>6</v>
      </c>
      <c r="Q39" s="16" t="s">
        <v>8</v>
      </c>
      <c r="R39" s="16" t="s">
        <v>7</v>
      </c>
      <c r="S39" s="16">
        <v>2</v>
      </c>
      <c r="T39" s="16" t="s">
        <v>8</v>
      </c>
      <c r="U39" s="16" t="s">
        <v>6</v>
      </c>
      <c r="V39" s="16" t="s">
        <v>9</v>
      </c>
      <c r="W39" s="19" t="s">
        <v>6</v>
      </c>
      <c r="X39" s="16" t="s">
        <v>8</v>
      </c>
      <c r="Y39" s="16" t="s">
        <v>79</v>
      </c>
      <c r="Z39" s="16" t="s">
        <v>16</v>
      </c>
      <c r="AA39" s="16" t="s">
        <v>16</v>
      </c>
      <c r="AB39" s="16" t="s">
        <v>16</v>
      </c>
    </row>
    <row r="40" spans="1:28" x14ac:dyDescent="0.25">
      <c r="A40" s="16" t="s">
        <v>61</v>
      </c>
      <c r="B40" s="17" t="str">
        <f>IFERROR(VLOOKUP(Results!$A40,'Columns B to F vlookup table'!$A$4:$I$21,3,FALSE),"")</f>
        <v>FOX-M</v>
      </c>
      <c r="C40" s="17" t="s">
        <v>26</v>
      </c>
      <c r="D40" s="17" t="str">
        <f>IFERROR(VLOOKUP(Results!$A40,'Columns B to F vlookup table'!$A$4:$I$21,7,FALSE),"")</f>
        <v>Summit</v>
      </c>
      <c r="E40" s="17" t="str">
        <f>IFERROR(VLOOKUP(Results!$A40,'Columns B to F vlookup table'!$A$4:$I$21,8,FALSE),"")</f>
        <v xml:space="preserve"> 68°45'43.00"N</v>
      </c>
      <c r="F40" s="17" t="str">
        <f>IFERROR(VLOOKUP(Results!$A40,'Columns B to F vlookup table'!$A$4:$I$21,9,FALSE),"")</f>
        <v xml:space="preserve"> 81°13'27.27"W</v>
      </c>
      <c r="G40" s="16"/>
      <c r="H40" s="16"/>
      <c r="I40" s="16"/>
      <c r="J40" s="21">
        <v>41076</v>
      </c>
      <c r="K40" s="21"/>
      <c r="L40" s="21"/>
      <c r="M40" s="19">
        <v>7.92</v>
      </c>
      <c r="N40" s="16" t="s">
        <v>13</v>
      </c>
      <c r="O40" s="16" t="s">
        <v>79</v>
      </c>
      <c r="P40" s="16">
        <v>0.4</v>
      </c>
      <c r="Q40" s="16">
        <v>1</v>
      </c>
      <c r="R40" s="16" t="s">
        <v>7</v>
      </c>
      <c r="S40" s="16">
        <v>4</v>
      </c>
      <c r="T40" s="16" t="s">
        <v>8</v>
      </c>
      <c r="U40" s="16" t="s">
        <v>6</v>
      </c>
      <c r="V40" s="16" t="s">
        <v>9</v>
      </c>
      <c r="W40" s="19" t="s">
        <v>6</v>
      </c>
      <c r="X40" s="16" t="s">
        <v>8</v>
      </c>
      <c r="Y40" s="16" t="s">
        <v>79</v>
      </c>
      <c r="Z40" s="16" t="s">
        <v>16</v>
      </c>
      <c r="AA40" s="16" t="s">
        <v>16</v>
      </c>
      <c r="AB40" s="16" t="s">
        <v>16</v>
      </c>
    </row>
    <row r="41" spans="1:28" x14ac:dyDescent="0.25">
      <c r="A41" s="16" t="s">
        <v>60</v>
      </c>
      <c r="B41" s="17" t="str">
        <f>IFERROR(VLOOKUP(Results!$A41,'Columns B to F vlookup table'!$A$4:$I$21,3,FALSE),"")</f>
        <v>FOX-M</v>
      </c>
      <c r="C41" s="17" t="s">
        <v>26</v>
      </c>
      <c r="D41" s="17" t="str">
        <f>IFERROR(VLOOKUP(Results!$A41,'Columns B to F vlookup table'!$A$4:$I$21,7,FALSE),"")</f>
        <v>Airstrip</v>
      </c>
      <c r="E41" s="17" t="str">
        <f>IFERROR(VLOOKUP(Results!$A41,'Columns B to F vlookup table'!$A$4:$I$21,8,FALSE),"")</f>
        <v xml:space="preserve"> 68°46'15.85"N</v>
      </c>
      <c r="F41" s="17" t="str">
        <f>IFERROR(VLOOKUP(Results!$A41,'Columns B to F vlookup table'!$A$4:$I$21,9,FALSE),"")</f>
        <v xml:space="preserve"> 81°13'58.33"W</v>
      </c>
      <c r="G41" s="16"/>
      <c r="H41" s="16"/>
      <c r="I41" s="16"/>
      <c r="J41" s="21">
        <v>41076</v>
      </c>
      <c r="K41" s="21"/>
      <c r="L41" s="21"/>
      <c r="M41" s="16">
        <v>7.8</v>
      </c>
      <c r="N41" s="16" t="s">
        <v>13</v>
      </c>
      <c r="O41" s="16" t="s">
        <v>79</v>
      </c>
      <c r="P41" s="16" t="s">
        <v>6</v>
      </c>
      <c r="Q41" s="16" t="s">
        <v>8</v>
      </c>
      <c r="R41" s="16" t="s">
        <v>7</v>
      </c>
      <c r="S41" s="16" t="s">
        <v>8</v>
      </c>
      <c r="T41" s="16" t="s">
        <v>8</v>
      </c>
      <c r="U41" s="16" t="s">
        <v>6</v>
      </c>
      <c r="V41" s="16" t="s">
        <v>9</v>
      </c>
      <c r="W41" s="19" t="s">
        <v>6</v>
      </c>
      <c r="X41" s="16" t="s">
        <v>8</v>
      </c>
      <c r="Y41" s="16" t="s">
        <v>79</v>
      </c>
      <c r="Z41" s="16" t="s">
        <v>16</v>
      </c>
      <c r="AA41" s="16" t="s">
        <v>16</v>
      </c>
      <c r="AB41" s="16" t="s">
        <v>16</v>
      </c>
    </row>
    <row r="42" spans="1:28" x14ac:dyDescent="0.25">
      <c r="A42" s="16" t="s">
        <v>58</v>
      </c>
      <c r="B42" s="17" t="str">
        <f>IFERROR(VLOOKUP(Results!$A42,'Columns B to F vlookup table'!$A$4:$I$21,3,FALSE),"")</f>
        <v>FOX-M</v>
      </c>
      <c r="C42" s="17" t="s">
        <v>26</v>
      </c>
      <c r="D42" s="17" t="str">
        <f>IFERROR(VLOOKUP(Results!$A42,'Columns B to F vlookup table'!$A$4:$I$21,7,FALSE),"")</f>
        <v>Beach</v>
      </c>
      <c r="E42" s="17" t="str">
        <f>IFERROR(VLOOKUP(Results!$A42,'Columns B to F vlookup table'!$A$4:$I$21,8,FALSE),"")</f>
        <v xml:space="preserve"> 68°46'23.75"N</v>
      </c>
      <c r="F42" s="17" t="str">
        <f>IFERROR(VLOOKUP(Results!$A42,'Columns B to F vlookup table'!$A$4:$I$21,9,FALSE),"")</f>
        <v xml:space="preserve"> 81°12'46.12"W</v>
      </c>
      <c r="G42" s="16"/>
      <c r="H42" s="16"/>
      <c r="I42" s="16"/>
      <c r="J42" s="21">
        <v>41076</v>
      </c>
      <c r="K42" s="21"/>
      <c r="L42" s="21"/>
      <c r="M42" s="16">
        <v>7.84</v>
      </c>
      <c r="N42" s="16" t="s">
        <v>13</v>
      </c>
      <c r="O42" s="16" t="s">
        <v>79</v>
      </c>
      <c r="P42" s="16">
        <v>0.1</v>
      </c>
      <c r="Q42" s="16" t="s">
        <v>8</v>
      </c>
      <c r="R42" s="16" t="s">
        <v>7</v>
      </c>
      <c r="S42" s="16">
        <v>2</v>
      </c>
      <c r="T42" s="16" t="s">
        <v>8</v>
      </c>
      <c r="U42" s="16" t="s">
        <v>6</v>
      </c>
      <c r="V42" s="16" t="s">
        <v>9</v>
      </c>
      <c r="W42" s="19" t="s">
        <v>6</v>
      </c>
      <c r="X42" s="16" t="s">
        <v>8</v>
      </c>
      <c r="Y42" s="16" t="s">
        <v>79</v>
      </c>
      <c r="Z42" s="16" t="s">
        <v>16</v>
      </c>
      <c r="AA42" s="16" t="s">
        <v>16</v>
      </c>
      <c r="AB42" s="16" t="s">
        <v>16</v>
      </c>
    </row>
    <row r="43" spans="1:28" x14ac:dyDescent="0.25">
      <c r="A43" s="16" t="s">
        <v>59</v>
      </c>
      <c r="B43" s="17" t="str">
        <f>IFERROR(VLOOKUP(Results!$A43,'Columns B to F vlookup table'!$A$4:$I$21,3,FALSE),"")</f>
        <v>FOX-M</v>
      </c>
      <c r="C43" s="17" t="s">
        <v>26</v>
      </c>
      <c r="D43" s="17" t="str">
        <f>IFERROR(VLOOKUP(Results!$A43,'Columns B to F vlookup table'!$A$4:$I$21,7,FALSE),"")</f>
        <v>Beach</v>
      </c>
      <c r="E43" s="17" t="str">
        <f>IFERROR(VLOOKUP(Results!$A43,'Columns B to F vlookup table'!$A$4:$I$21,8,FALSE),"")</f>
        <v xml:space="preserve"> 68°46'23.93"N</v>
      </c>
      <c r="F43" s="17" t="str">
        <f>IFERROR(VLOOKUP(Results!$A43,'Columns B to F vlookup table'!$A$4:$I$21,9,FALSE),"")</f>
        <v xml:space="preserve"> 81°12'51.11"W</v>
      </c>
      <c r="G43" s="16"/>
      <c r="H43" s="16"/>
      <c r="I43" s="16"/>
      <c r="J43" s="21">
        <v>41076</v>
      </c>
      <c r="K43" s="21"/>
      <c r="L43" s="21"/>
      <c r="M43" s="16">
        <v>7.74</v>
      </c>
      <c r="N43" s="16" t="s">
        <v>13</v>
      </c>
      <c r="O43" s="16" t="s">
        <v>79</v>
      </c>
      <c r="P43" s="16" t="s">
        <v>6</v>
      </c>
      <c r="Q43" s="16" t="s">
        <v>8</v>
      </c>
      <c r="R43" s="16" t="s">
        <v>7</v>
      </c>
      <c r="S43" s="16">
        <v>6</v>
      </c>
      <c r="T43" s="16" t="s">
        <v>8</v>
      </c>
      <c r="U43" s="16" t="s">
        <v>6</v>
      </c>
      <c r="V43" s="16" t="s">
        <v>9</v>
      </c>
      <c r="W43" s="19" t="s">
        <v>6</v>
      </c>
      <c r="X43" s="16" t="s">
        <v>8</v>
      </c>
      <c r="Y43" s="16" t="s">
        <v>79</v>
      </c>
      <c r="Z43" s="16" t="s">
        <v>16</v>
      </c>
      <c r="AA43" s="16" t="s">
        <v>16</v>
      </c>
      <c r="AB43" s="16" t="s">
        <v>16</v>
      </c>
    </row>
    <row r="44" spans="1:28" x14ac:dyDescent="0.25">
      <c r="A44" s="16" t="s">
        <v>83</v>
      </c>
      <c r="B44" s="17" t="str">
        <f>IFERROR(VLOOKUP(Results!$A44,'Columns B to F vlookup table'!$A$4:$I$21,3,FALSE),"")</f>
        <v>FOX-3</v>
      </c>
      <c r="C44" s="17" t="s">
        <v>25</v>
      </c>
      <c r="D44" s="17" t="str">
        <f>IFERROR(VLOOKUP(Results!$A44,'Columns B to F vlookup table'!$A$4:$I$21,7,FALSE),"")</f>
        <v>Airstrip</v>
      </c>
      <c r="E44" s="17" t="str">
        <f>IFERROR(VLOOKUP(Results!$A44,'Columns B to F vlookup table'!$A$4:$I$21,8,FALSE),"")</f>
        <v xml:space="preserve"> 68°37'26.59"N</v>
      </c>
      <c r="F44" s="17" t="str">
        <f>IFERROR(VLOOKUP(Results!$A44,'Columns B to F vlookup table'!$A$4:$I$21,9,FALSE),"")</f>
        <v xml:space="preserve"> 71°8'23.67"W</v>
      </c>
      <c r="G44" s="16"/>
      <c r="H44" s="16"/>
      <c r="I44" s="16"/>
      <c r="J44" s="20">
        <v>41076</v>
      </c>
      <c r="K44" s="20"/>
      <c r="L44" s="20"/>
      <c r="M44" s="16">
        <v>7.74</v>
      </c>
      <c r="N44" s="16" t="s">
        <v>13</v>
      </c>
      <c r="O44" s="16" t="s">
        <v>79</v>
      </c>
      <c r="P44" s="16">
        <v>0.2</v>
      </c>
      <c r="Q44" s="16">
        <v>1</v>
      </c>
      <c r="R44" s="16">
        <v>0.8</v>
      </c>
      <c r="S44" s="16">
        <v>5</v>
      </c>
      <c r="T44" s="16" t="s">
        <v>8</v>
      </c>
      <c r="U44" s="16" t="s">
        <v>6</v>
      </c>
      <c r="V44" s="16">
        <v>26</v>
      </c>
      <c r="W44" s="19" t="s">
        <v>6</v>
      </c>
      <c r="X44" s="16" t="s">
        <v>8</v>
      </c>
      <c r="Y44" s="16" t="s">
        <v>79</v>
      </c>
      <c r="Z44" s="16" t="s">
        <v>16</v>
      </c>
      <c r="AA44" s="16" t="s">
        <v>16</v>
      </c>
      <c r="AB44" s="16" t="s">
        <v>16</v>
      </c>
    </row>
    <row r="45" spans="1:28" x14ac:dyDescent="0.25">
      <c r="A45" s="16" t="s">
        <v>56</v>
      </c>
      <c r="B45" s="17" t="str">
        <f>IFERROR(VLOOKUP(Results!$A45,'Columns B to F vlookup table'!$A$4:$I$21,3,FALSE),"")</f>
        <v>CAM-3</v>
      </c>
      <c r="C45" s="17" t="s">
        <v>22</v>
      </c>
      <c r="D45" s="17" t="str">
        <f>IFERROR(VLOOKUP(Results!$A45,'Columns B to F vlookup table'!$A$4:$I$21,7,FALSE),"")</f>
        <v>Summit</v>
      </c>
      <c r="E45" s="17" t="str">
        <f>IFERROR(VLOOKUP(Results!$A45,'Columns B to F vlookup table'!$A$4:$I$21,8,FALSE),"")</f>
        <v xml:space="preserve"> 68°47'42.00"N</v>
      </c>
      <c r="F45" s="17" t="str">
        <f>IFERROR(VLOOKUP(Results!$A45,'Columns B to F vlookup table'!$A$4:$I$21,9,FALSE),"")</f>
        <v xml:space="preserve"> 93°26'19.58"W</v>
      </c>
      <c r="G45" s="16"/>
      <c r="H45" s="16"/>
      <c r="I45" s="16"/>
      <c r="J45" s="18">
        <v>41089</v>
      </c>
      <c r="K45" s="18"/>
      <c r="L45" s="18"/>
      <c r="M45" s="16">
        <v>7.96</v>
      </c>
      <c r="N45" s="16">
        <v>3000</v>
      </c>
      <c r="O45" s="16" t="s">
        <v>79</v>
      </c>
      <c r="P45" s="16" t="s">
        <v>6</v>
      </c>
      <c r="Q45" s="16">
        <v>3</v>
      </c>
      <c r="R45" s="16" t="s">
        <v>7</v>
      </c>
      <c r="S45" s="16">
        <v>19</v>
      </c>
      <c r="T45" s="16" t="s">
        <v>8</v>
      </c>
      <c r="U45" s="16" t="s">
        <v>6</v>
      </c>
      <c r="V45" s="16" t="s">
        <v>9</v>
      </c>
      <c r="W45" s="19" t="s">
        <v>6</v>
      </c>
      <c r="X45" s="16" t="s">
        <v>8</v>
      </c>
      <c r="Y45" s="16" t="s">
        <v>79</v>
      </c>
      <c r="Z45" s="16" t="s">
        <v>16</v>
      </c>
      <c r="AA45" s="16" t="s">
        <v>16</v>
      </c>
      <c r="AB45" s="16" t="s">
        <v>16</v>
      </c>
    </row>
    <row r="46" spans="1:28" x14ac:dyDescent="0.25">
      <c r="A46" s="16" t="s">
        <v>57</v>
      </c>
      <c r="B46" s="17" t="str">
        <f>IFERROR(VLOOKUP(Results!$A46,'Columns B to F vlookup table'!$A$4:$I$21,3,FALSE),"")</f>
        <v>CAM-3</v>
      </c>
      <c r="C46" s="17" t="s">
        <v>22</v>
      </c>
      <c r="D46" s="17" t="str">
        <f>IFERROR(VLOOKUP(Results!$A46,'Columns B to F vlookup table'!$A$4:$I$21,7,FALSE),"")</f>
        <v>Beach</v>
      </c>
      <c r="E46" s="17" t="str">
        <f>IFERROR(VLOOKUP(Results!$A46,'Columns B to F vlookup table'!$A$4:$I$21,8,FALSE),"")</f>
        <v xml:space="preserve"> 68°48'7.82"N</v>
      </c>
      <c r="F46" s="17" t="str">
        <f>IFERROR(VLOOKUP(Results!$A46,'Columns B to F vlookup table'!$A$4:$I$21,9,FALSE),"")</f>
        <v xml:space="preserve"> 93°36'50.12"W</v>
      </c>
      <c r="G46" s="16"/>
      <c r="H46" s="16"/>
      <c r="I46" s="16"/>
      <c r="J46" s="18">
        <v>41089</v>
      </c>
      <c r="K46" s="18"/>
      <c r="L46" s="18"/>
      <c r="M46" s="16">
        <v>7.53</v>
      </c>
      <c r="N46" s="16" t="s">
        <v>13</v>
      </c>
      <c r="O46" s="16" t="s">
        <v>79</v>
      </c>
      <c r="P46" s="16" t="s">
        <v>6</v>
      </c>
      <c r="Q46" s="16" t="s">
        <v>8</v>
      </c>
      <c r="R46" s="16" t="s">
        <v>7</v>
      </c>
      <c r="S46" s="16">
        <v>2</v>
      </c>
      <c r="T46" s="16" t="s">
        <v>8</v>
      </c>
      <c r="U46" s="16" t="s">
        <v>6</v>
      </c>
      <c r="V46" s="16" t="s">
        <v>9</v>
      </c>
      <c r="W46" s="19" t="s">
        <v>6</v>
      </c>
      <c r="X46" s="16" t="s">
        <v>8</v>
      </c>
      <c r="Y46" s="16" t="s">
        <v>79</v>
      </c>
      <c r="Z46" s="16" t="s">
        <v>16</v>
      </c>
      <c r="AA46" s="16" t="s">
        <v>16</v>
      </c>
      <c r="AB46" s="16" t="s">
        <v>16</v>
      </c>
    </row>
    <row r="47" spans="1:28" x14ac:dyDescent="0.25">
      <c r="A47" s="16" t="s">
        <v>65</v>
      </c>
      <c r="B47" s="17" t="str">
        <f>IFERROR(VLOOKUP(Results!$A47,'Columns B to F vlookup table'!$A$4:$I$21,3,FALSE),"")</f>
        <v>FOX-3</v>
      </c>
      <c r="C47" s="17" t="s">
        <v>25</v>
      </c>
      <c r="D47" s="17" t="str">
        <f>IFERROR(VLOOKUP(Results!$A47,'Columns B to F vlookup table'!$A$4:$I$21,7,FALSE),"")</f>
        <v>Airstrip</v>
      </c>
      <c r="E47" s="17" t="str">
        <f>IFERROR(VLOOKUP(Results!$A47,'Columns B to F vlookup table'!$A$4:$I$21,8,FALSE),"")</f>
        <v xml:space="preserve"> 68°37'24.90"N</v>
      </c>
      <c r="F47" s="17" t="str">
        <f>IFERROR(VLOOKUP(Results!$A47,'Columns B to F vlookup table'!$A$4:$I$21,9,FALSE),"")</f>
        <v xml:space="preserve"> 71° 8'5.62"W</v>
      </c>
      <c r="G47" s="16"/>
      <c r="H47" s="16"/>
      <c r="I47" s="16"/>
      <c r="J47" s="20">
        <v>41089</v>
      </c>
      <c r="K47" s="20"/>
      <c r="L47" s="20"/>
      <c r="M47" s="16">
        <v>6.24</v>
      </c>
      <c r="N47" s="16" t="s">
        <v>13</v>
      </c>
      <c r="O47" s="16" t="s">
        <v>79</v>
      </c>
      <c r="P47" s="16">
        <v>0.3</v>
      </c>
      <c r="Q47" s="16" t="s">
        <v>8</v>
      </c>
      <c r="R47" s="16">
        <v>1.2</v>
      </c>
      <c r="S47" s="16">
        <v>14</v>
      </c>
      <c r="T47" s="16" t="s">
        <v>8</v>
      </c>
      <c r="U47" s="16" t="s">
        <v>6</v>
      </c>
      <c r="V47" s="16">
        <v>8</v>
      </c>
      <c r="W47" s="19" t="s">
        <v>6</v>
      </c>
      <c r="X47" s="16" t="s">
        <v>8</v>
      </c>
      <c r="Y47" s="16">
        <v>80</v>
      </c>
      <c r="Z47" s="16" t="s">
        <v>16</v>
      </c>
      <c r="AA47" s="16" t="s">
        <v>16</v>
      </c>
      <c r="AB47" s="16" t="s">
        <v>16</v>
      </c>
    </row>
    <row r="48" spans="1:28" x14ac:dyDescent="0.25">
      <c r="A48" s="16" t="s">
        <v>64</v>
      </c>
      <c r="B48" s="17" t="str">
        <f>IFERROR(VLOOKUP(Results!$A48,'Columns B to F vlookup table'!$A$4:$I$21,3,FALSE),"")</f>
        <v>FOX-3</v>
      </c>
      <c r="C48" s="17" t="s">
        <v>25</v>
      </c>
      <c r="D48" s="17" t="str">
        <f>IFERROR(VLOOKUP(Results!$A48,'Columns B to F vlookup table'!$A$4:$I$21,7,FALSE),"")</f>
        <v>Summit</v>
      </c>
      <c r="E48" s="17" t="str">
        <f>IFERROR(VLOOKUP(Results!$A48,'Columns B to F vlookup table'!$A$4:$I$21,8,FALSE),"")</f>
        <v xml:space="preserve"> 68°39'5.43"N</v>
      </c>
      <c r="F48" s="17" t="str">
        <f>IFERROR(VLOOKUP(Results!$A48,'Columns B to F vlookup table'!$A$4:$I$21,9,FALSE),"")</f>
        <v xml:space="preserve"> 71°14'3.23"W</v>
      </c>
      <c r="G48" s="16"/>
      <c r="H48" s="16"/>
      <c r="I48" s="16"/>
      <c r="J48" s="21">
        <v>41090</v>
      </c>
      <c r="K48" s="21"/>
      <c r="L48" s="21"/>
      <c r="M48" s="19">
        <v>6.1</v>
      </c>
      <c r="N48" s="16" t="s">
        <v>13</v>
      </c>
      <c r="O48" s="16" t="s">
        <v>79</v>
      </c>
      <c r="P48" s="16">
        <v>0.2</v>
      </c>
      <c r="Q48" s="16">
        <v>1</v>
      </c>
      <c r="R48" s="16">
        <v>1.2</v>
      </c>
      <c r="S48" s="16">
        <v>2</v>
      </c>
      <c r="T48" s="16" t="s">
        <v>8</v>
      </c>
      <c r="U48" s="16" t="s">
        <v>6</v>
      </c>
      <c r="V48" s="16" t="s">
        <v>9</v>
      </c>
      <c r="W48" s="19" t="s">
        <v>6</v>
      </c>
      <c r="X48" s="16" t="s">
        <v>8</v>
      </c>
      <c r="Y48" s="16">
        <v>140</v>
      </c>
      <c r="Z48" s="16" t="s">
        <v>16</v>
      </c>
      <c r="AA48" s="16" t="s">
        <v>16</v>
      </c>
      <c r="AB48" s="16" t="s">
        <v>16</v>
      </c>
    </row>
    <row r="49" spans="1:28" x14ac:dyDescent="0.25">
      <c r="A49" s="16" t="s">
        <v>63</v>
      </c>
      <c r="B49" s="17" t="str">
        <f>IFERROR(VLOOKUP(Results!$A49,'Columns B to F vlookup table'!$A$4:$I$21,3,FALSE),"")</f>
        <v>FOX-3</v>
      </c>
      <c r="C49" s="17" t="s">
        <v>25</v>
      </c>
      <c r="D49" s="17" t="str">
        <f>IFERROR(VLOOKUP(Results!$A49,'Columns B to F vlookup table'!$A$4:$I$21,7,FALSE),"")</f>
        <v>Summit</v>
      </c>
      <c r="E49" s="17" t="str">
        <f>IFERROR(VLOOKUP(Results!$A49,'Columns B to F vlookup table'!$A$4:$I$21,8,FALSE),"")</f>
        <v xml:space="preserve"> 68°39'3.67"N</v>
      </c>
      <c r="F49" s="17" t="str">
        <f>IFERROR(VLOOKUP(Results!$A49,'Columns B to F vlookup table'!$A$4:$I$21,9,FALSE),"")</f>
        <v xml:space="preserve"> 71°13'49.97"W</v>
      </c>
      <c r="G49" s="16"/>
      <c r="H49" s="16"/>
      <c r="I49" s="16"/>
      <c r="J49" s="21">
        <v>41090</v>
      </c>
      <c r="K49" s="21"/>
      <c r="L49" s="21"/>
      <c r="M49" s="19">
        <v>6.82</v>
      </c>
      <c r="N49" s="16" t="s">
        <v>13</v>
      </c>
      <c r="O49" s="16" t="s">
        <v>79</v>
      </c>
      <c r="P49" s="16">
        <v>0.9</v>
      </c>
      <c r="Q49" s="16" t="s">
        <v>8</v>
      </c>
      <c r="R49" s="16">
        <v>1.6</v>
      </c>
      <c r="S49" s="16">
        <v>6</v>
      </c>
      <c r="T49" s="16" t="s">
        <v>8</v>
      </c>
      <c r="U49" s="16" t="s">
        <v>6</v>
      </c>
      <c r="V49" s="16">
        <v>9</v>
      </c>
      <c r="W49" s="19" t="s">
        <v>6</v>
      </c>
      <c r="X49" s="16" t="s">
        <v>8</v>
      </c>
      <c r="Y49" s="16" t="s">
        <v>79</v>
      </c>
      <c r="Z49" s="16" t="s">
        <v>16</v>
      </c>
      <c r="AA49" s="16" t="s">
        <v>16</v>
      </c>
      <c r="AB49" s="16" t="s">
        <v>16</v>
      </c>
    </row>
    <row r="50" spans="1:28" x14ac:dyDescent="0.25">
      <c r="A50" s="16" t="s">
        <v>83</v>
      </c>
      <c r="B50" s="17" t="str">
        <f>IFERROR(VLOOKUP(Results!$A50,'Columns B to F vlookup table'!$A$4:$I$21,3,FALSE),"")</f>
        <v>FOX-3</v>
      </c>
      <c r="C50" s="17" t="s">
        <v>25</v>
      </c>
      <c r="D50" s="17" t="str">
        <f>IFERROR(VLOOKUP(Results!$A50,'Columns B to F vlookup table'!$A$4:$I$21,7,FALSE),"")</f>
        <v>Airstrip</v>
      </c>
      <c r="E50" s="17" t="str">
        <f>IFERROR(VLOOKUP(Results!$A50,'Columns B to F vlookup table'!$A$4:$I$21,8,FALSE),"")</f>
        <v xml:space="preserve"> 68°37'26.59"N</v>
      </c>
      <c r="F50" s="17" t="str">
        <f>IFERROR(VLOOKUP(Results!$A50,'Columns B to F vlookup table'!$A$4:$I$21,9,FALSE),"")</f>
        <v xml:space="preserve"> 71°8'23.67"W</v>
      </c>
      <c r="G50" s="16"/>
      <c r="H50" s="16"/>
      <c r="I50" s="16"/>
      <c r="J50" s="18">
        <v>41090</v>
      </c>
      <c r="K50" s="18"/>
      <c r="L50" s="18"/>
      <c r="M50" s="16">
        <v>6.28</v>
      </c>
      <c r="N50" s="22" t="s">
        <v>13</v>
      </c>
      <c r="O50" s="16" t="s">
        <v>79</v>
      </c>
      <c r="P50" s="16">
        <v>0.2</v>
      </c>
      <c r="Q50" s="16">
        <v>1</v>
      </c>
      <c r="R50" s="16">
        <v>0.8</v>
      </c>
      <c r="S50" s="16">
        <v>5</v>
      </c>
      <c r="T50" s="16" t="s">
        <v>8</v>
      </c>
      <c r="U50" s="22" t="s">
        <v>6</v>
      </c>
      <c r="V50" s="16">
        <v>26</v>
      </c>
      <c r="W50" s="22" t="s">
        <v>6</v>
      </c>
      <c r="X50" s="22" t="s">
        <v>8</v>
      </c>
      <c r="Y50" s="16" t="s">
        <v>79</v>
      </c>
      <c r="Z50" s="16" t="s">
        <v>16</v>
      </c>
      <c r="AA50" s="16" t="s">
        <v>16</v>
      </c>
      <c r="AB50" s="16" t="s">
        <v>16</v>
      </c>
    </row>
    <row r="51" spans="1:28" x14ac:dyDescent="0.25">
      <c r="A51" s="16" t="s">
        <v>86</v>
      </c>
      <c r="B51" s="17" t="str">
        <f>IFERROR(VLOOKUP(Results!$A51,'Columns B to F vlookup table'!$A$4:$I$21,3,FALSE),"")</f>
        <v>BAF-3</v>
      </c>
      <c r="C51" s="17" t="s">
        <v>24</v>
      </c>
      <c r="D51" s="17" t="str">
        <f>IFERROR(VLOOKUP(Results!$A51,'Columns B to F vlookup table'!$A$4:$I$21,7,FALSE),"")</f>
        <v>Summit</v>
      </c>
      <c r="E51" s="17" t="str">
        <f>IFERROR(VLOOKUP(Results!$A51,'Columns B to F vlookup table'!$A$4:$I$21,8,FALSE),"")</f>
        <v xml:space="preserve"> 63°20'23.21"N</v>
      </c>
      <c r="F51" s="17" t="str">
        <f>IFERROR(VLOOKUP(Results!$A51,'Columns B to F vlookup table'!$A$4:$I$21,9,FALSE),"")</f>
        <v xml:space="preserve"> 64° 9'17.92"W</v>
      </c>
      <c r="G51" s="16"/>
      <c r="H51" s="16"/>
      <c r="I51" s="16"/>
      <c r="J51" s="21">
        <v>41095</v>
      </c>
      <c r="K51" s="21"/>
      <c r="L51" s="21"/>
      <c r="M51" s="16">
        <v>6.73</v>
      </c>
      <c r="N51" s="16" t="s">
        <v>13</v>
      </c>
      <c r="O51" s="16" t="s">
        <v>79</v>
      </c>
      <c r="P51" s="16">
        <v>0.4</v>
      </c>
      <c r="Q51" s="16">
        <v>1</v>
      </c>
      <c r="R51" s="16" t="s">
        <v>7</v>
      </c>
      <c r="S51" s="16">
        <v>4</v>
      </c>
      <c r="T51" s="16" t="s">
        <v>8</v>
      </c>
      <c r="U51" s="16" t="s">
        <v>6</v>
      </c>
      <c r="V51" s="16" t="s">
        <v>9</v>
      </c>
      <c r="W51" s="16" t="s">
        <v>6</v>
      </c>
      <c r="X51" s="16" t="s">
        <v>8</v>
      </c>
      <c r="Y51" s="16" t="s">
        <v>79</v>
      </c>
      <c r="Z51" s="16" t="s">
        <v>16</v>
      </c>
      <c r="AA51" s="16" t="s">
        <v>16</v>
      </c>
      <c r="AB51" s="16" t="s">
        <v>16</v>
      </c>
    </row>
    <row r="52" spans="1:28" x14ac:dyDescent="0.25">
      <c r="A52" s="16" t="s">
        <v>91</v>
      </c>
      <c r="B52" s="17" t="str">
        <f>IFERROR(VLOOKUP(Results!$A52,'Columns B to F vlookup table'!$A$4:$I$21,3,FALSE),"")</f>
        <v>BAF-3</v>
      </c>
      <c r="C52" s="17" t="s">
        <v>24</v>
      </c>
      <c r="D52" s="17" t="str">
        <f>IFERROR(VLOOKUP(Results!$A52,'Columns B to F vlookup table'!$A$4:$I$21,7,FALSE),"")</f>
        <v>Beach</v>
      </c>
      <c r="E52" s="17" t="str">
        <f>IFERROR(VLOOKUP(Results!$A52,'Columns B to F vlookup table'!$A$4:$I$21,8,FALSE),"")</f>
        <v xml:space="preserve"> 63°19'10.94"N</v>
      </c>
      <c r="F52" s="17" t="str">
        <f>IFERROR(VLOOKUP(Results!$A52,'Columns B to F vlookup table'!$A$4:$I$21,9,FALSE),"")</f>
        <v xml:space="preserve"> 64° 8'21.22"W</v>
      </c>
      <c r="G52" s="16"/>
      <c r="H52" s="16"/>
      <c r="I52" s="16"/>
      <c r="J52" s="21">
        <v>41095</v>
      </c>
      <c r="K52" s="21"/>
      <c r="L52" s="21"/>
      <c r="M52" s="16">
        <v>6.87</v>
      </c>
      <c r="N52" s="16" t="s">
        <v>13</v>
      </c>
      <c r="O52" s="16" t="s">
        <v>79</v>
      </c>
      <c r="P52" s="16" t="s">
        <v>8</v>
      </c>
      <c r="Q52" s="16" t="s">
        <v>8</v>
      </c>
      <c r="R52" s="16" t="s">
        <v>7</v>
      </c>
      <c r="S52" s="16">
        <v>2</v>
      </c>
      <c r="T52" s="16" t="s">
        <v>8</v>
      </c>
      <c r="U52" s="16" t="s">
        <v>6</v>
      </c>
      <c r="V52" s="19" t="s">
        <v>9</v>
      </c>
      <c r="W52" s="16" t="s">
        <v>6</v>
      </c>
      <c r="X52" s="16" t="s">
        <v>8</v>
      </c>
      <c r="Y52" s="16" t="s">
        <v>79</v>
      </c>
      <c r="Z52" s="16" t="s">
        <v>16</v>
      </c>
      <c r="AA52" s="16" t="s">
        <v>16</v>
      </c>
      <c r="AB52" s="16" t="s">
        <v>16</v>
      </c>
    </row>
    <row r="53" spans="1:28" x14ac:dyDescent="0.25">
      <c r="A53" s="16" t="s">
        <v>66</v>
      </c>
      <c r="B53" s="17" t="str">
        <f>IFERROR(VLOOKUP(Results!$A53,'Columns B to F vlookup table'!$A$4:$I$21,3,FALSE),"")</f>
        <v>DYE-M</v>
      </c>
      <c r="C53" s="17" t="s">
        <v>27</v>
      </c>
      <c r="D53" s="17" t="str">
        <f>IFERROR(VLOOKUP(Results!$A53,'Columns B to F vlookup table'!$A$4:$I$21,7,FALSE),"")</f>
        <v>Summit</v>
      </c>
      <c r="E53" s="17" t="str">
        <f>IFERROR(VLOOKUP(Results!$A53,'Columns B to F vlookup table'!$A$4:$I$21,8,FALSE),"")</f>
        <v xml:space="preserve"> 66°39'53.59"N</v>
      </c>
      <c r="F53" s="17" t="str">
        <f>IFERROR(VLOOKUP(Results!$A53,'Columns B to F vlookup table'!$A$4:$I$21,9,FALSE),"")</f>
        <v xml:space="preserve"> 61°21'23.78"W</v>
      </c>
      <c r="G53" s="16"/>
      <c r="H53" s="16"/>
      <c r="I53" s="16"/>
      <c r="J53" s="20">
        <v>41128</v>
      </c>
      <c r="K53" s="20"/>
      <c r="L53" s="20"/>
      <c r="M53" s="16">
        <v>7.43</v>
      </c>
      <c r="N53" s="16" t="s">
        <v>13</v>
      </c>
      <c r="O53" s="16" t="s">
        <v>79</v>
      </c>
      <c r="P53" s="16" t="s">
        <v>6</v>
      </c>
      <c r="Q53" s="16" t="s">
        <v>8</v>
      </c>
      <c r="R53" s="16" t="s">
        <v>7</v>
      </c>
      <c r="S53" s="16">
        <v>2</v>
      </c>
      <c r="T53" s="16" t="s">
        <v>8</v>
      </c>
      <c r="U53" s="16" t="s">
        <v>6</v>
      </c>
      <c r="V53" s="16" t="s">
        <v>9</v>
      </c>
      <c r="W53" s="19" t="s">
        <v>6</v>
      </c>
      <c r="X53" s="16" t="s">
        <v>8</v>
      </c>
      <c r="Y53" s="16">
        <v>160</v>
      </c>
      <c r="Z53" s="16" t="s">
        <v>16</v>
      </c>
      <c r="AA53" s="16" t="s">
        <v>16</v>
      </c>
      <c r="AB53" s="16" t="s">
        <v>16</v>
      </c>
    </row>
    <row r="54" spans="1:28" x14ac:dyDescent="0.25">
      <c r="A54" s="16" t="s">
        <v>86</v>
      </c>
      <c r="B54" s="17" t="str">
        <f>IFERROR(VLOOKUP(Results!$A54,'Columns B to F vlookup table'!$A$4:$I$21,3,FALSE),"")</f>
        <v>BAF-3</v>
      </c>
      <c r="C54" s="17" t="s">
        <v>24</v>
      </c>
      <c r="D54" s="17" t="str">
        <f>IFERROR(VLOOKUP(Results!$A54,'Columns B to F vlookup table'!$A$4:$I$21,7,FALSE),"")</f>
        <v>Summit</v>
      </c>
      <c r="E54" s="17" t="str">
        <f>IFERROR(VLOOKUP(Results!$A54,'Columns B to F vlookup table'!$A$4:$I$21,8,FALSE),"")</f>
        <v xml:space="preserve"> 63°20'23.21"N</v>
      </c>
      <c r="F54" s="17" t="str">
        <f>IFERROR(VLOOKUP(Results!$A54,'Columns B to F vlookup table'!$A$4:$I$21,9,FALSE),"")</f>
        <v xml:space="preserve"> 64° 9'17.92"W</v>
      </c>
      <c r="G54" s="16"/>
      <c r="H54" s="16"/>
      <c r="I54" s="16"/>
      <c r="J54" s="18">
        <v>41170</v>
      </c>
      <c r="K54" s="18"/>
      <c r="L54" s="18"/>
      <c r="M54" s="16">
        <v>6.41</v>
      </c>
      <c r="N54" s="16" t="s">
        <v>13</v>
      </c>
      <c r="O54" s="16" t="s">
        <v>79</v>
      </c>
      <c r="P54" s="16" t="s">
        <v>6</v>
      </c>
      <c r="Q54" s="16" t="s">
        <v>8</v>
      </c>
      <c r="R54" s="16" t="s">
        <v>7</v>
      </c>
      <c r="S54" s="16" t="s">
        <v>7</v>
      </c>
      <c r="T54" s="16" t="s">
        <v>8</v>
      </c>
      <c r="U54" s="16" t="s">
        <v>6</v>
      </c>
      <c r="V54" s="19" t="s">
        <v>9</v>
      </c>
      <c r="W54" s="16" t="s">
        <v>6</v>
      </c>
      <c r="X54" s="16" t="s">
        <v>8</v>
      </c>
      <c r="Y54" s="16" t="s">
        <v>79</v>
      </c>
      <c r="Z54" s="16" t="s">
        <v>16</v>
      </c>
      <c r="AA54" s="16" t="s">
        <v>16</v>
      </c>
      <c r="AB54" s="16" t="s">
        <v>16</v>
      </c>
    </row>
    <row r="55" spans="1:28" x14ac:dyDescent="0.25">
      <c r="A55" s="16" t="s">
        <v>70</v>
      </c>
      <c r="B55" s="17" t="str">
        <f>IFERROR(VLOOKUP(Results!$A55,'Columns B to F vlookup table'!$A$4:$I$21,3,FALSE),"")</f>
        <v>CAM-M</v>
      </c>
      <c r="C55" s="17" t="s">
        <v>23</v>
      </c>
      <c r="D55" s="17" t="str">
        <f>IFERROR(VLOOKUP(Results!$A55,'Columns B to F vlookup table'!$A$4:$I$21,7,FALSE),"")</f>
        <v>Summit</v>
      </c>
      <c r="E55" s="17" t="str">
        <f>IFERROR(VLOOKUP(Results!$A55,'Columns B to F vlookup table'!$A$4:$I$21,8,FALSE),"")</f>
        <v xml:space="preserve"> 69° 7'2.76"N</v>
      </c>
      <c r="F55" s="17" t="str">
        <f>IFERROR(VLOOKUP(Results!$A55,'Columns B to F vlookup table'!$A$4:$I$21,9,FALSE),"")</f>
        <v>105° 7'2.69"W</v>
      </c>
      <c r="G55" s="16"/>
      <c r="H55" s="16"/>
      <c r="I55" s="16"/>
      <c r="J55" s="18">
        <v>41439</v>
      </c>
      <c r="K55" s="18"/>
      <c r="L55" s="18"/>
      <c r="M55" s="16">
        <v>7.47</v>
      </c>
      <c r="N55" s="16" t="s">
        <v>13</v>
      </c>
      <c r="O55" s="16" t="s">
        <v>79</v>
      </c>
      <c r="P55" s="16" t="s">
        <v>6</v>
      </c>
      <c r="Q55" s="16" t="s">
        <v>8</v>
      </c>
      <c r="R55" s="16" t="s">
        <v>7</v>
      </c>
      <c r="S55" s="16">
        <v>7</v>
      </c>
      <c r="T55" s="16" t="s">
        <v>8</v>
      </c>
      <c r="U55" s="16" t="s">
        <v>6</v>
      </c>
      <c r="V55" s="16" t="s">
        <v>9</v>
      </c>
      <c r="W55" s="19" t="s">
        <v>6</v>
      </c>
      <c r="X55" s="16" t="s">
        <v>8</v>
      </c>
      <c r="Y55" s="16" t="s">
        <v>15</v>
      </c>
      <c r="Z55" s="16" t="s">
        <v>16</v>
      </c>
      <c r="AA55" s="16" t="s">
        <v>16</v>
      </c>
      <c r="AB55" s="16" t="s">
        <v>16</v>
      </c>
    </row>
    <row r="56" spans="1:28" x14ac:dyDescent="0.25">
      <c r="A56" s="16" t="s">
        <v>73</v>
      </c>
      <c r="B56" s="17" t="str">
        <f>IFERROR(VLOOKUP(Results!$A56,'Columns B to F vlookup table'!$A$4:$I$21,3,FALSE),"")</f>
        <v>CAM-M</v>
      </c>
      <c r="C56" s="17" t="s">
        <v>23</v>
      </c>
      <c r="D56" s="17" t="str">
        <f>IFERROR(VLOOKUP(Results!$A56,'Columns B to F vlookup table'!$A$4:$I$21,7,FALSE),"")</f>
        <v>Airstrip</v>
      </c>
      <c r="E56" s="17" t="str">
        <f>IFERROR(VLOOKUP(Results!$A56,'Columns B to F vlookup table'!$A$4:$I$21,8,FALSE),"")</f>
        <v xml:space="preserve"> 69° 6'12.01"N</v>
      </c>
      <c r="F56" s="17" t="str">
        <f>IFERROR(VLOOKUP(Results!$A56,'Columns B to F vlookup table'!$A$4:$I$21,9,FALSE),"")</f>
        <v>105° 7'36.60"W</v>
      </c>
      <c r="G56" s="16"/>
      <c r="H56" s="16"/>
      <c r="I56" s="16"/>
      <c r="J56" s="18">
        <v>41439</v>
      </c>
      <c r="K56" s="18"/>
      <c r="L56" s="18"/>
      <c r="M56" s="16">
        <v>7.9</v>
      </c>
      <c r="N56" s="16" t="s">
        <v>13</v>
      </c>
      <c r="O56" s="16" t="s">
        <v>79</v>
      </c>
      <c r="P56" s="16" t="s">
        <v>6</v>
      </c>
      <c r="Q56" s="16" t="s">
        <v>8</v>
      </c>
      <c r="R56" s="16">
        <v>0.5</v>
      </c>
      <c r="S56" s="16">
        <v>5</v>
      </c>
      <c r="T56" s="16" t="s">
        <v>8</v>
      </c>
      <c r="U56" s="16" t="s">
        <v>6</v>
      </c>
      <c r="V56" s="16" t="s">
        <v>9</v>
      </c>
      <c r="W56" s="19" t="s">
        <v>6</v>
      </c>
      <c r="X56" s="16" t="s">
        <v>8</v>
      </c>
      <c r="Y56" s="16" t="s">
        <v>79</v>
      </c>
      <c r="Z56" s="16" t="s">
        <v>16</v>
      </c>
      <c r="AA56" s="16" t="s">
        <v>16</v>
      </c>
      <c r="AB56" s="16" t="s">
        <v>16</v>
      </c>
    </row>
    <row r="57" spans="1:28" x14ac:dyDescent="0.25">
      <c r="A57" s="16" t="s">
        <v>74</v>
      </c>
      <c r="B57" s="17" t="str">
        <f>IFERROR(VLOOKUP(Results!$A57,'Columns B to F vlookup table'!$A$4:$I$21,3,FALSE),"")</f>
        <v>CAM-M</v>
      </c>
      <c r="C57" s="17" t="s">
        <v>23</v>
      </c>
      <c r="D57" s="17" t="str">
        <f>IFERROR(VLOOKUP(Results!$A57,'Columns B to F vlookup table'!$A$4:$I$21,7,FALSE),"")</f>
        <v>Beach</v>
      </c>
      <c r="E57" s="17" t="str">
        <f>IFERROR(VLOOKUP(Results!$A57,'Columns B to F vlookup table'!$A$4:$I$21,8,FALSE),"")</f>
        <v xml:space="preserve"> 69° 6'11.41"N</v>
      </c>
      <c r="F57" s="17" t="str">
        <f>IFERROR(VLOOKUP(Results!$A57,'Columns B to F vlookup table'!$A$4:$I$21,9,FALSE),"")</f>
        <v>105° 5'50.26"W</v>
      </c>
      <c r="G57" s="16"/>
      <c r="H57" s="16"/>
      <c r="I57" s="16"/>
      <c r="J57" s="18">
        <v>41439</v>
      </c>
      <c r="K57" s="18"/>
      <c r="L57" s="18"/>
      <c r="M57" s="16">
        <v>7.57</v>
      </c>
      <c r="N57" s="16" t="s">
        <v>13</v>
      </c>
      <c r="O57" s="16" t="s">
        <v>79</v>
      </c>
      <c r="P57" s="16" t="s">
        <v>6</v>
      </c>
      <c r="Q57" s="16">
        <v>1</v>
      </c>
      <c r="R57" s="16" t="s">
        <v>7</v>
      </c>
      <c r="S57" s="16">
        <v>7</v>
      </c>
      <c r="T57" s="16" t="s">
        <v>8</v>
      </c>
      <c r="U57" s="16" t="s">
        <v>6</v>
      </c>
      <c r="V57" s="16" t="s">
        <v>9</v>
      </c>
      <c r="W57" s="19" t="s">
        <v>6</v>
      </c>
      <c r="X57" s="16" t="s">
        <v>8</v>
      </c>
      <c r="Y57" s="16" t="s">
        <v>15</v>
      </c>
      <c r="Z57" s="16" t="s">
        <v>16</v>
      </c>
      <c r="AA57" s="16" t="s">
        <v>16</v>
      </c>
      <c r="AB57" s="16" t="s">
        <v>16</v>
      </c>
    </row>
    <row r="58" spans="1:28" x14ac:dyDescent="0.25">
      <c r="A58" s="16" t="s">
        <v>64</v>
      </c>
      <c r="B58" s="17" t="str">
        <f>IFERROR(VLOOKUP(Results!$A58,'Columns B to F vlookup table'!$A$4:$I$21,3,FALSE),"")</f>
        <v>FOX-3</v>
      </c>
      <c r="C58" s="17" t="s">
        <v>25</v>
      </c>
      <c r="D58" s="17" t="str">
        <f>IFERROR(VLOOKUP(Results!$A58,'Columns B to F vlookup table'!$A$4:$I$21,7,FALSE),"")</f>
        <v>Summit</v>
      </c>
      <c r="E58" s="17" t="str">
        <f>IFERROR(VLOOKUP(Results!$A58,'Columns B to F vlookup table'!$A$4:$I$21,8,FALSE),"")</f>
        <v xml:space="preserve"> 68°39'5.43"N</v>
      </c>
      <c r="F58" s="17" t="str">
        <f>IFERROR(VLOOKUP(Results!$A58,'Columns B to F vlookup table'!$A$4:$I$21,9,FALSE),"")</f>
        <v xml:space="preserve"> 71°14'3.23"W</v>
      </c>
      <c r="G58" s="16"/>
      <c r="H58" s="16"/>
      <c r="I58" s="16"/>
      <c r="J58" s="21">
        <v>41439</v>
      </c>
      <c r="K58" s="21"/>
      <c r="L58" s="21"/>
      <c r="M58" s="19">
        <v>6.56</v>
      </c>
      <c r="N58" s="16" t="s">
        <v>13</v>
      </c>
      <c r="O58" s="16" t="s">
        <v>79</v>
      </c>
      <c r="P58" s="16">
        <v>0.1</v>
      </c>
      <c r="Q58" s="16" t="s">
        <v>8</v>
      </c>
      <c r="R58" s="16">
        <v>0.6</v>
      </c>
      <c r="S58" s="16">
        <v>2</v>
      </c>
      <c r="T58" s="16" t="s">
        <v>8</v>
      </c>
      <c r="U58" s="16" t="s">
        <v>6</v>
      </c>
      <c r="V58" s="16" t="s">
        <v>9</v>
      </c>
      <c r="W58" s="19" t="s">
        <v>6</v>
      </c>
      <c r="X58" s="16">
        <v>3</v>
      </c>
      <c r="Y58" s="16">
        <v>110</v>
      </c>
      <c r="Z58" s="16" t="s">
        <v>16</v>
      </c>
      <c r="AA58" s="16" t="s">
        <v>16</v>
      </c>
      <c r="AB58" s="16" t="s">
        <v>16</v>
      </c>
    </row>
    <row r="59" spans="1:28" x14ac:dyDescent="0.25">
      <c r="A59" s="16" t="s">
        <v>65</v>
      </c>
      <c r="B59" s="17" t="str">
        <f>IFERROR(VLOOKUP(Results!$A59,'Columns B to F vlookup table'!$A$4:$I$21,3,FALSE),"")</f>
        <v>FOX-3</v>
      </c>
      <c r="C59" s="17" t="s">
        <v>25</v>
      </c>
      <c r="D59" s="17" t="str">
        <f>IFERROR(VLOOKUP(Results!$A59,'Columns B to F vlookup table'!$A$4:$I$21,7,FALSE),"")</f>
        <v>Airstrip</v>
      </c>
      <c r="E59" s="17" t="str">
        <f>IFERROR(VLOOKUP(Results!$A59,'Columns B to F vlookup table'!$A$4:$I$21,8,FALSE),"")</f>
        <v xml:space="preserve"> 68°37'24.90"N</v>
      </c>
      <c r="F59" s="17" t="str">
        <f>IFERROR(VLOOKUP(Results!$A59,'Columns B to F vlookup table'!$A$4:$I$21,9,FALSE),"")</f>
        <v xml:space="preserve"> 71° 8'5.62"W</v>
      </c>
      <c r="G59" s="16"/>
      <c r="H59" s="16"/>
      <c r="I59" s="16"/>
      <c r="J59" s="20">
        <v>41439</v>
      </c>
      <c r="K59" s="20"/>
      <c r="L59" s="20"/>
      <c r="M59" s="16">
        <v>6.72</v>
      </c>
      <c r="N59" s="16" t="s">
        <v>13</v>
      </c>
      <c r="O59" s="16" t="s">
        <v>12</v>
      </c>
      <c r="P59" s="16">
        <v>0.2</v>
      </c>
      <c r="Q59" s="16" t="s">
        <v>8</v>
      </c>
      <c r="R59" s="16">
        <v>0.8</v>
      </c>
      <c r="S59" s="16">
        <v>2</v>
      </c>
      <c r="T59" s="16" t="s">
        <v>8</v>
      </c>
      <c r="U59" s="16" t="s">
        <v>6</v>
      </c>
      <c r="V59" s="16" t="s">
        <v>8</v>
      </c>
      <c r="W59" s="19" t="s">
        <v>6</v>
      </c>
      <c r="X59" s="16" t="s">
        <v>8</v>
      </c>
      <c r="Y59" s="16" t="s">
        <v>15</v>
      </c>
      <c r="Z59" s="16" t="s">
        <v>16</v>
      </c>
      <c r="AA59" s="16" t="s">
        <v>16</v>
      </c>
      <c r="AB59" s="16" t="s">
        <v>16</v>
      </c>
    </row>
    <row r="60" spans="1:28" x14ac:dyDescent="0.25">
      <c r="A60" s="16" t="s">
        <v>56</v>
      </c>
      <c r="B60" s="17" t="str">
        <f>IFERROR(VLOOKUP(Results!$A60,'Columns B to F vlookup table'!$A$4:$I$21,3,FALSE),"")</f>
        <v>CAM-3</v>
      </c>
      <c r="C60" s="17" t="s">
        <v>22</v>
      </c>
      <c r="D60" s="17" t="str">
        <f>IFERROR(VLOOKUP(Results!$A60,'Columns B to F vlookup table'!$A$4:$I$21,7,FALSE),"")</f>
        <v>Summit</v>
      </c>
      <c r="E60" s="17" t="str">
        <f>IFERROR(VLOOKUP(Results!$A60,'Columns B to F vlookup table'!$A$4:$I$21,8,FALSE),"")</f>
        <v xml:space="preserve"> 68°47'42.00"N</v>
      </c>
      <c r="F60" s="17" t="str">
        <f>IFERROR(VLOOKUP(Results!$A60,'Columns B to F vlookup table'!$A$4:$I$21,9,FALSE),"")</f>
        <v xml:space="preserve"> 93°26'19.58"W</v>
      </c>
      <c r="G60" s="16"/>
      <c r="H60" s="16"/>
      <c r="I60" s="16"/>
      <c r="J60" s="18">
        <v>41440</v>
      </c>
      <c r="K60" s="18"/>
      <c r="L60" s="18"/>
      <c r="M60" s="16">
        <v>7.6</v>
      </c>
      <c r="N60" s="16" t="s">
        <v>13</v>
      </c>
      <c r="O60" s="16" t="s">
        <v>12</v>
      </c>
      <c r="P60" s="16">
        <v>0.1</v>
      </c>
      <c r="Q60" s="16">
        <v>1</v>
      </c>
      <c r="R60" s="16" t="s">
        <v>7</v>
      </c>
      <c r="S60" s="16">
        <v>10</v>
      </c>
      <c r="T60" s="16" t="s">
        <v>8</v>
      </c>
      <c r="U60" s="16" t="s">
        <v>6</v>
      </c>
      <c r="V60" s="16" t="s">
        <v>9</v>
      </c>
      <c r="W60" s="19" t="s">
        <v>6</v>
      </c>
      <c r="X60" s="16" t="s">
        <v>8</v>
      </c>
      <c r="Y60" s="16" t="s">
        <v>15</v>
      </c>
      <c r="Z60" s="16" t="s">
        <v>16</v>
      </c>
      <c r="AA60" s="16" t="s">
        <v>16</v>
      </c>
      <c r="AB60" s="16" t="s">
        <v>16</v>
      </c>
    </row>
    <row r="61" spans="1:28" x14ac:dyDescent="0.25">
      <c r="A61" s="16" t="s">
        <v>57</v>
      </c>
      <c r="B61" s="17" t="str">
        <f>IFERROR(VLOOKUP(Results!$A61,'Columns B to F vlookup table'!$A$4:$I$21,3,FALSE),"")</f>
        <v>CAM-3</v>
      </c>
      <c r="C61" s="17" t="s">
        <v>22</v>
      </c>
      <c r="D61" s="17" t="str">
        <f>IFERROR(VLOOKUP(Results!$A61,'Columns B to F vlookup table'!$A$4:$I$21,7,FALSE),"")</f>
        <v>Beach</v>
      </c>
      <c r="E61" s="17" t="str">
        <f>IFERROR(VLOOKUP(Results!$A61,'Columns B to F vlookup table'!$A$4:$I$21,8,FALSE),"")</f>
        <v xml:space="preserve"> 68°48'7.82"N</v>
      </c>
      <c r="F61" s="17" t="str">
        <f>IFERROR(VLOOKUP(Results!$A61,'Columns B to F vlookup table'!$A$4:$I$21,9,FALSE),"")</f>
        <v xml:space="preserve"> 93°36'50.12"W</v>
      </c>
      <c r="G61" s="16"/>
      <c r="H61" s="16"/>
      <c r="I61" s="16"/>
      <c r="J61" s="18">
        <v>41440</v>
      </c>
      <c r="K61" s="18"/>
      <c r="L61" s="18"/>
      <c r="M61" s="16">
        <v>7.28</v>
      </c>
      <c r="N61" s="16" t="s">
        <v>13</v>
      </c>
      <c r="O61" s="16" t="s">
        <v>12</v>
      </c>
      <c r="P61" s="16" t="s">
        <v>6</v>
      </c>
      <c r="Q61" s="16">
        <v>1</v>
      </c>
      <c r="R61" s="16" t="s">
        <v>7</v>
      </c>
      <c r="S61" s="16">
        <v>1</v>
      </c>
      <c r="T61" s="16" t="s">
        <v>8</v>
      </c>
      <c r="U61" s="16" t="s">
        <v>6</v>
      </c>
      <c r="V61" s="16" t="s">
        <v>9</v>
      </c>
      <c r="W61" s="19" t="s">
        <v>6</v>
      </c>
      <c r="X61" s="16" t="s">
        <v>8</v>
      </c>
      <c r="Y61" s="16" t="s">
        <v>15</v>
      </c>
      <c r="Z61" s="16" t="s">
        <v>16</v>
      </c>
      <c r="AA61" s="16" t="s">
        <v>16</v>
      </c>
      <c r="AB61" s="16" t="s">
        <v>16</v>
      </c>
    </row>
    <row r="62" spans="1:28" x14ac:dyDescent="0.25">
      <c r="A62" s="16" t="s">
        <v>62</v>
      </c>
      <c r="B62" s="17" t="str">
        <f>IFERROR(VLOOKUP(Results!$A62,'Columns B to F vlookup table'!$A$4:$I$21,3,FALSE),"")</f>
        <v>FOX-M</v>
      </c>
      <c r="C62" s="17" t="s">
        <v>26</v>
      </c>
      <c r="D62" s="17" t="str">
        <f>IFERROR(VLOOKUP(Results!$A62,'Columns B to F vlookup table'!$A$4:$I$21,7,FALSE),"")</f>
        <v>Summit</v>
      </c>
      <c r="E62" s="17" t="str">
        <f>IFERROR(VLOOKUP(Results!$A62,'Columns B to F vlookup table'!$A$4:$I$21,8,FALSE),"")</f>
        <v xml:space="preserve"> 68°45'42.24"N</v>
      </c>
      <c r="F62" s="17" t="str">
        <f>IFERROR(VLOOKUP(Results!$A62,'Columns B to F vlookup table'!$A$4:$I$21,9,FALSE),"")</f>
        <v xml:space="preserve"> 81°13'25.04"W</v>
      </c>
      <c r="G62" s="16"/>
      <c r="H62" s="16"/>
      <c r="I62" s="16"/>
      <c r="J62" s="21">
        <v>41440</v>
      </c>
      <c r="K62" s="21"/>
      <c r="L62" s="21"/>
      <c r="M62" s="16">
        <v>7.92</v>
      </c>
      <c r="N62" s="16" t="s">
        <v>13</v>
      </c>
      <c r="O62" s="16" t="s">
        <v>12</v>
      </c>
      <c r="P62" s="16" t="s">
        <v>6</v>
      </c>
      <c r="Q62" s="16">
        <v>2</v>
      </c>
      <c r="R62" s="16" t="s">
        <v>7</v>
      </c>
      <c r="S62" s="16">
        <v>1</v>
      </c>
      <c r="T62" s="16" t="s">
        <v>8</v>
      </c>
      <c r="U62" s="16" t="s">
        <v>6</v>
      </c>
      <c r="V62" s="16" t="s">
        <v>9</v>
      </c>
      <c r="W62" s="19" t="s">
        <v>6</v>
      </c>
      <c r="X62" s="16" t="s">
        <v>8</v>
      </c>
      <c r="Y62" s="16" t="s">
        <v>15</v>
      </c>
      <c r="Z62" s="16" t="s">
        <v>16</v>
      </c>
      <c r="AA62" s="16" t="s">
        <v>16</v>
      </c>
      <c r="AB62" s="16" t="s">
        <v>16</v>
      </c>
    </row>
    <row r="63" spans="1:28" x14ac:dyDescent="0.25">
      <c r="A63" s="16" t="s">
        <v>61</v>
      </c>
      <c r="B63" s="17" t="str">
        <f>IFERROR(VLOOKUP(Results!$A63,'Columns B to F vlookup table'!$A$4:$I$21,3,FALSE),"")</f>
        <v>FOX-M</v>
      </c>
      <c r="C63" s="17" t="s">
        <v>26</v>
      </c>
      <c r="D63" s="17" t="str">
        <f>IFERROR(VLOOKUP(Results!$A63,'Columns B to F vlookup table'!$A$4:$I$21,7,FALSE),"")</f>
        <v>Summit</v>
      </c>
      <c r="E63" s="17" t="str">
        <f>IFERROR(VLOOKUP(Results!$A63,'Columns B to F vlookup table'!$A$4:$I$21,8,FALSE),"")</f>
        <v xml:space="preserve"> 68°45'43.00"N</v>
      </c>
      <c r="F63" s="17" t="str">
        <f>IFERROR(VLOOKUP(Results!$A63,'Columns B to F vlookup table'!$A$4:$I$21,9,FALSE),"")</f>
        <v xml:space="preserve"> 81°13'27.27"W</v>
      </c>
      <c r="G63" s="16"/>
      <c r="H63" s="16"/>
      <c r="I63" s="16"/>
      <c r="J63" s="21">
        <v>41440</v>
      </c>
      <c r="K63" s="21"/>
      <c r="L63" s="21"/>
      <c r="M63" s="19">
        <v>8.02</v>
      </c>
      <c r="N63" s="16" t="s">
        <v>13</v>
      </c>
      <c r="O63" s="16" t="s">
        <v>12</v>
      </c>
      <c r="P63" s="16" t="s">
        <v>6</v>
      </c>
      <c r="Q63" s="16">
        <v>1</v>
      </c>
      <c r="R63" s="16" t="s">
        <v>7</v>
      </c>
      <c r="S63" s="16">
        <v>1</v>
      </c>
      <c r="T63" s="16" t="s">
        <v>8</v>
      </c>
      <c r="U63" s="16" t="s">
        <v>6</v>
      </c>
      <c r="V63" s="16" t="s">
        <v>9</v>
      </c>
      <c r="W63" s="19" t="s">
        <v>6</v>
      </c>
      <c r="X63" s="16" t="s">
        <v>8</v>
      </c>
      <c r="Y63" s="16" t="s">
        <v>15</v>
      </c>
      <c r="Z63" s="16" t="s">
        <v>16</v>
      </c>
      <c r="AA63" s="16" t="s">
        <v>16</v>
      </c>
      <c r="AB63" s="16" t="s">
        <v>16</v>
      </c>
    </row>
    <row r="64" spans="1:28" x14ac:dyDescent="0.25">
      <c r="A64" s="16" t="s">
        <v>60</v>
      </c>
      <c r="B64" s="17" t="str">
        <f>IFERROR(VLOOKUP(Results!$A64,'Columns B to F vlookup table'!$A$4:$I$21,3,FALSE),"")</f>
        <v>FOX-M</v>
      </c>
      <c r="C64" s="17" t="s">
        <v>26</v>
      </c>
      <c r="D64" s="17" t="str">
        <f>IFERROR(VLOOKUP(Results!$A64,'Columns B to F vlookup table'!$A$4:$I$21,7,FALSE),"")</f>
        <v>Airstrip</v>
      </c>
      <c r="E64" s="17" t="str">
        <f>IFERROR(VLOOKUP(Results!$A64,'Columns B to F vlookup table'!$A$4:$I$21,8,FALSE),"")</f>
        <v xml:space="preserve"> 68°46'15.85"N</v>
      </c>
      <c r="F64" s="17" t="str">
        <f>IFERROR(VLOOKUP(Results!$A64,'Columns B to F vlookup table'!$A$4:$I$21,9,FALSE),"")</f>
        <v xml:space="preserve"> 81°13'58.33"W</v>
      </c>
      <c r="G64" s="16"/>
      <c r="H64" s="16"/>
      <c r="I64" s="16"/>
      <c r="J64" s="21">
        <v>41440</v>
      </c>
      <c r="K64" s="21"/>
      <c r="L64" s="21"/>
      <c r="M64" s="16">
        <v>7.77</v>
      </c>
      <c r="N64" s="16" t="s">
        <v>13</v>
      </c>
      <c r="O64" s="16" t="s">
        <v>79</v>
      </c>
      <c r="P64" s="16">
        <v>0.1</v>
      </c>
      <c r="Q64" s="16" t="s">
        <v>8</v>
      </c>
      <c r="R64" s="16" t="s">
        <v>7</v>
      </c>
      <c r="S64" s="16">
        <v>3</v>
      </c>
      <c r="T64" s="16" t="s">
        <v>8</v>
      </c>
      <c r="U64" s="16" t="s">
        <v>6</v>
      </c>
      <c r="V64" s="16" t="s">
        <v>9</v>
      </c>
      <c r="W64" s="19" t="s">
        <v>6</v>
      </c>
      <c r="X64" s="16" t="s">
        <v>8</v>
      </c>
      <c r="Y64" s="16" t="s">
        <v>79</v>
      </c>
      <c r="Z64" s="16" t="s">
        <v>16</v>
      </c>
      <c r="AA64" s="16" t="s">
        <v>16</v>
      </c>
      <c r="AB64" s="16" t="s">
        <v>16</v>
      </c>
    </row>
    <row r="65" spans="1:29" x14ac:dyDescent="0.25">
      <c r="A65" s="16" t="s">
        <v>58</v>
      </c>
      <c r="B65" s="17" t="str">
        <f>IFERROR(VLOOKUP(Results!$A65,'Columns B to F vlookup table'!$A$4:$I$21,3,FALSE),"")</f>
        <v>FOX-M</v>
      </c>
      <c r="C65" s="17" t="s">
        <v>26</v>
      </c>
      <c r="D65" s="17" t="str">
        <f>IFERROR(VLOOKUP(Results!$A65,'Columns B to F vlookup table'!$A$4:$I$21,7,FALSE),"")</f>
        <v>Beach</v>
      </c>
      <c r="E65" s="17" t="str">
        <f>IFERROR(VLOOKUP(Results!$A65,'Columns B to F vlookup table'!$A$4:$I$21,8,FALSE),"")</f>
        <v xml:space="preserve"> 68°46'23.75"N</v>
      </c>
      <c r="F65" s="17" t="str">
        <f>IFERROR(VLOOKUP(Results!$A65,'Columns B to F vlookup table'!$A$4:$I$21,9,FALSE),"")</f>
        <v xml:space="preserve"> 81°12'46.12"W</v>
      </c>
      <c r="G65" s="16"/>
      <c r="H65" s="16"/>
      <c r="I65" s="16"/>
      <c r="J65" s="21">
        <v>41440</v>
      </c>
      <c r="K65" s="21"/>
      <c r="L65" s="21"/>
      <c r="M65" s="16">
        <v>7.9</v>
      </c>
      <c r="N65" s="16" t="s">
        <v>13</v>
      </c>
      <c r="O65" s="16" t="s">
        <v>79</v>
      </c>
      <c r="P65" s="16" t="s">
        <v>6</v>
      </c>
      <c r="Q65" s="16">
        <v>1</v>
      </c>
      <c r="R65" s="16" t="s">
        <v>7</v>
      </c>
      <c r="S65" s="16">
        <v>1</v>
      </c>
      <c r="T65" s="16" t="s">
        <v>8</v>
      </c>
      <c r="U65" s="16" t="s">
        <v>6</v>
      </c>
      <c r="V65" s="16" t="s">
        <v>9</v>
      </c>
      <c r="W65" s="19" t="s">
        <v>6</v>
      </c>
      <c r="X65" s="16" t="s">
        <v>8</v>
      </c>
      <c r="Y65" s="16" t="s">
        <v>15</v>
      </c>
      <c r="Z65" s="16" t="s">
        <v>16</v>
      </c>
      <c r="AA65" s="16" t="s">
        <v>16</v>
      </c>
      <c r="AB65" s="16" t="s">
        <v>16</v>
      </c>
    </row>
    <row r="66" spans="1:29" x14ac:dyDescent="0.25">
      <c r="A66" s="16" t="s">
        <v>59</v>
      </c>
      <c r="B66" s="17" t="str">
        <f>IFERROR(VLOOKUP(Results!$A66,'Columns B to F vlookup table'!$A$4:$I$21,3,FALSE),"")</f>
        <v>FOX-M</v>
      </c>
      <c r="C66" s="17" t="s">
        <v>26</v>
      </c>
      <c r="D66" s="17" t="str">
        <f>IFERROR(VLOOKUP(Results!$A66,'Columns B to F vlookup table'!$A$4:$I$21,7,FALSE),"")</f>
        <v>Beach</v>
      </c>
      <c r="E66" s="17" t="str">
        <f>IFERROR(VLOOKUP(Results!$A66,'Columns B to F vlookup table'!$A$4:$I$21,8,FALSE),"")</f>
        <v xml:space="preserve"> 68°46'23.93"N</v>
      </c>
      <c r="F66" s="17" t="str">
        <f>IFERROR(VLOOKUP(Results!$A66,'Columns B to F vlookup table'!$A$4:$I$21,9,FALSE),"")</f>
        <v xml:space="preserve"> 81°12'51.11"W</v>
      </c>
      <c r="G66" s="16"/>
      <c r="H66" s="16"/>
      <c r="I66" s="16"/>
      <c r="J66" s="21">
        <v>41440</v>
      </c>
      <c r="K66" s="21"/>
      <c r="L66" s="21"/>
      <c r="M66" s="16">
        <v>7.96</v>
      </c>
      <c r="N66" s="16" t="s">
        <v>13</v>
      </c>
      <c r="O66" s="16" t="s">
        <v>12</v>
      </c>
      <c r="P66" s="16" t="s">
        <v>6</v>
      </c>
      <c r="Q66" s="16">
        <v>1</v>
      </c>
      <c r="R66" s="16">
        <v>0.4</v>
      </c>
      <c r="S66" s="16">
        <v>2</v>
      </c>
      <c r="T66" s="16" t="s">
        <v>8</v>
      </c>
      <c r="U66" s="16" t="s">
        <v>6</v>
      </c>
      <c r="V66" s="16" t="s">
        <v>9</v>
      </c>
      <c r="W66" s="19" t="s">
        <v>6</v>
      </c>
      <c r="X66" s="16" t="s">
        <v>8</v>
      </c>
      <c r="Y66" s="16" t="s">
        <v>15</v>
      </c>
      <c r="Z66" s="16" t="s">
        <v>16</v>
      </c>
      <c r="AA66" s="16" t="s">
        <v>16</v>
      </c>
      <c r="AB66" s="16" t="s">
        <v>16</v>
      </c>
    </row>
    <row r="67" spans="1:29" x14ac:dyDescent="0.25">
      <c r="A67" s="16" t="s">
        <v>63</v>
      </c>
      <c r="B67" s="17" t="str">
        <f>IFERROR(VLOOKUP(Results!$A67,'Columns B to F vlookup table'!$A$4:$I$21,3,FALSE),"")</f>
        <v>FOX-3</v>
      </c>
      <c r="C67" s="17" t="s">
        <v>25</v>
      </c>
      <c r="D67" s="17" t="str">
        <f>IFERROR(VLOOKUP(Results!$A67,'Columns B to F vlookup table'!$A$4:$I$21,7,FALSE),"")</f>
        <v>Summit</v>
      </c>
      <c r="E67" s="17" t="str">
        <f>IFERROR(VLOOKUP(Results!$A67,'Columns B to F vlookup table'!$A$4:$I$21,8,FALSE),"")</f>
        <v xml:space="preserve"> 68°39'3.67"N</v>
      </c>
      <c r="F67" s="17" t="str">
        <f>IFERROR(VLOOKUP(Results!$A67,'Columns B to F vlookup table'!$A$4:$I$21,9,FALSE),"")</f>
        <v xml:space="preserve"> 71°13'49.97"W</v>
      </c>
      <c r="G67" s="16"/>
      <c r="H67" s="16"/>
      <c r="I67" s="16"/>
      <c r="J67" s="21">
        <v>41440</v>
      </c>
      <c r="K67" s="21"/>
      <c r="L67" s="21"/>
      <c r="M67" s="19">
        <v>6.71</v>
      </c>
      <c r="N67" s="16" t="s">
        <v>13</v>
      </c>
      <c r="O67" s="16" t="s">
        <v>12</v>
      </c>
      <c r="P67" s="16">
        <v>0.9</v>
      </c>
      <c r="Q67" s="16" t="s">
        <v>8</v>
      </c>
      <c r="R67" s="16">
        <v>3</v>
      </c>
      <c r="S67" s="16">
        <v>8</v>
      </c>
      <c r="T67" s="16" t="s">
        <v>8</v>
      </c>
      <c r="U67" s="16" t="s">
        <v>6</v>
      </c>
      <c r="V67" s="16" t="s">
        <v>9</v>
      </c>
      <c r="W67" s="19" t="s">
        <v>6</v>
      </c>
      <c r="X67" s="16" t="s">
        <v>8</v>
      </c>
      <c r="Y67" s="16">
        <v>50</v>
      </c>
      <c r="Z67" s="16" t="s">
        <v>16</v>
      </c>
      <c r="AA67" s="16" t="s">
        <v>16</v>
      </c>
      <c r="AB67" s="16" t="s">
        <v>16</v>
      </c>
    </row>
    <row r="68" spans="1:29" x14ac:dyDescent="0.25">
      <c r="A68" s="16" t="s">
        <v>86</v>
      </c>
      <c r="B68" s="17" t="str">
        <f>IFERROR(VLOOKUP(Results!$A68,'Columns B to F vlookup table'!$A$4:$I$21,3,FALSE),"")</f>
        <v>BAF-3</v>
      </c>
      <c r="C68" s="17" t="s">
        <v>24</v>
      </c>
      <c r="D68" s="17" t="str">
        <f>IFERROR(VLOOKUP(Results!$A68,'Columns B to F vlookup table'!$A$4:$I$21,7,FALSE),"")</f>
        <v>Summit</v>
      </c>
      <c r="E68" s="17" t="str">
        <f>IFERROR(VLOOKUP(Results!$A68,'Columns B to F vlookup table'!$A$4:$I$21,8,FALSE),"")</f>
        <v xml:space="preserve"> 63°20'23.21"N</v>
      </c>
      <c r="F68" s="17" t="str">
        <f>IFERROR(VLOOKUP(Results!$A68,'Columns B to F vlookup table'!$A$4:$I$21,9,FALSE),"")</f>
        <v xml:space="preserve"> 64° 9'17.92"W</v>
      </c>
      <c r="G68" s="16"/>
      <c r="H68" s="16"/>
      <c r="I68" s="16"/>
      <c r="J68" s="20">
        <v>41457</v>
      </c>
      <c r="K68" s="20"/>
      <c r="L68" s="20"/>
      <c r="M68" s="16">
        <v>6.52</v>
      </c>
      <c r="N68" s="16" t="s">
        <v>13</v>
      </c>
      <c r="O68" s="16" t="s">
        <v>12</v>
      </c>
      <c r="P68" s="16" t="s">
        <v>6</v>
      </c>
      <c r="Q68" s="16">
        <v>1</v>
      </c>
      <c r="R68" s="16" t="s">
        <v>7</v>
      </c>
      <c r="S68" s="16">
        <v>1</v>
      </c>
      <c r="T68" s="16" t="s">
        <v>8</v>
      </c>
      <c r="U68" s="16" t="s">
        <v>6</v>
      </c>
      <c r="V68" s="16" t="s">
        <v>9</v>
      </c>
      <c r="W68" s="16" t="s">
        <v>6</v>
      </c>
      <c r="X68" s="16" t="s">
        <v>8</v>
      </c>
      <c r="Y68" s="16" t="s">
        <v>15</v>
      </c>
      <c r="Z68" s="16" t="s">
        <v>16</v>
      </c>
      <c r="AA68" s="16" t="s">
        <v>16</v>
      </c>
      <c r="AB68" s="16" t="s">
        <v>16</v>
      </c>
    </row>
    <row r="69" spans="1:29" x14ac:dyDescent="0.25">
      <c r="A69" s="16" t="s">
        <v>91</v>
      </c>
      <c r="B69" s="17" t="str">
        <f>IFERROR(VLOOKUP(Results!$A69,'Columns B to F vlookup table'!$A$4:$I$21,3,FALSE),"")</f>
        <v>BAF-3</v>
      </c>
      <c r="C69" s="17" t="s">
        <v>24</v>
      </c>
      <c r="D69" s="17" t="str">
        <f>IFERROR(VLOOKUP(Results!$A69,'Columns B to F vlookup table'!$A$4:$I$21,7,FALSE),"")</f>
        <v>Beach</v>
      </c>
      <c r="E69" s="17" t="str">
        <f>IFERROR(VLOOKUP(Results!$A69,'Columns B to F vlookup table'!$A$4:$I$21,8,FALSE),"")</f>
        <v xml:space="preserve"> 63°19'10.94"N</v>
      </c>
      <c r="F69" s="17" t="str">
        <f>IFERROR(VLOOKUP(Results!$A69,'Columns B to F vlookup table'!$A$4:$I$21,9,FALSE),"")</f>
        <v xml:space="preserve"> 64° 8'21.22"W</v>
      </c>
      <c r="G69" s="16"/>
      <c r="H69" s="16"/>
      <c r="I69" s="16"/>
      <c r="J69" s="20">
        <v>41457</v>
      </c>
      <c r="K69" s="20"/>
      <c r="L69" s="20"/>
      <c r="M69" s="16">
        <v>6.27</v>
      </c>
      <c r="N69" s="16" t="s">
        <v>13</v>
      </c>
      <c r="O69" s="16" t="s">
        <v>12</v>
      </c>
      <c r="P69" s="16" t="s">
        <v>6</v>
      </c>
      <c r="Q69" s="16">
        <v>1</v>
      </c>
      <c r="R69" s="16" t="s">
        <v>7</v>
      </c>
      <c r="S69" s="16">
        <v>1</v>
      </c>
      <c r="T69" s="16" t="s">
        <v>8</v>
      </c>
      <c r="U69" s="16" t="s">
        <v>6</v>
      </c>
      <c r="V69" s="19" t="s">
        <v>9</v>
      </c>
      <c r="W69" s="16" t="s">
        <v>6</v>
      </c>
      <c r="X69" s="16" t="s">
        <v>8</v>
      </c>
      <c r="Y69" s="16" t="s">
        <v>15</v>
      </c>
      <c r="Z69" s="16" t="s">
        <v>16</v>
      </c>
      <c r="AA69" s="16" t="s">
        <v>16</v>
      </c>
      <c r="AB69" s="16" t="s">
        <v>16</v>
      </c>
    </row>
    <row r="70" spans="1:29" x14ac:dyDescent="0.25">
      <c r="A70" s="16" t="s">
        <v>67</v>
      </c>
      <c r="B70" s="17" t="str">
        <f>IFERROR(VLOOKUP(Results!$A70,'Columns B to F vlookup table'!$A$4:$I$21,3,FALSE),"")</f>
        <v>DYE-M</v>
      </c>
      <c r="C70" s="17" t="s">
        <v>27</v>
      </c>
      <c r="D70" s="17" t="str">
        <f>IFERROR(VLOOKUP(Results!$A70,'Columns B to F vlookup table'!$A$4:$I$21,7,FALSE),"")</f>
        <v>Summit</v>
      </c>
      <c r="E70" s="17" t="str">
        <f>IFERROR(VLOOKUP(Results!$A70,'Columns B to F vlookup table'!$A$4:$I$21,8,FALSE),"")</f>
        <v xml:space="preserve"> 66°40'0.13"N</v>
      </c>
      <c r="F70" s="17" t="str">
        <f>IFERROR(VLOOKUP(Results!$A70,'Columns B to F vlookup table'!$A$4:$I$21,9,FALSE),"")</f>
        <v xml:space="preserve"> 61°21'25.76"W</v>
      </c>
      <c r="G70" s="16"/>
      <c r="H70" s="16"/>
      <c r="I70" s="16"/>
      <c r="J70" s="20">
        <v>41475</v>
      </c>
      <c r="K70" s="20"/>
      <c r="L70" s="20"/>
      <c r="M70" s="16">
        <v>6.53</v>
      </c>
      <c r="N70" s="16" t="s">
        <v>13</v>
      </c>
      <c r="O70" s="16" t="s">
        <v>79</v>
      </c>
      <c r="P70" s="16" t="s">
        <v>6</v>
      </c>
      <c r="Q70" s="16">
        <v>2</v>
      </c>
      <c r="R70" s="16" t="s">
        <v>7</v>
      </c>
      <c r="S70" s="16">
        <v>1</v>
      </c>
      <c r="T70" s="16" t="s">
        <v>8</v>
      </c>
      <c r="U70" s="16" t="s">
        <v>6</v>
      </c>
      <c r="V70" s="16" t="s">
        <v>9</v>
      </c>
      <c r="W70" s="19" t="s">
        <v>6</v>
      </c>
      <c r="X70" s="16" t="s">
        <v>8</v>
      </c>
      <c r="Y70" s="16" t="s">
        <v>79</v>
      </c>
      <c r="Z70" s="16" t="s">
        <v>16</v>
      </c>
      <c r="AA70" s="16" t="s">
        <v>16</v>
      </c>
      <c r="AB70" s="16" t="s">
        <v>16</v>
      </c>
    </row>
    <row r="71" spans="1:29" x14ac:dyDescent="0.25">
      <c r="A71" s="16" t="s">
        <v>66</v>
      </c>
      <c r="B71" s="17" t="str">
        <f>IFERROR(VLOOKUP(Results!$A71,'Columns B to F vlookup table'!$A$4:$I$21,3,FALSE),"")</f>
        <v>DYE-M</v>
      </c>
      <c r="C71" s="17" t="s">
        <v>27</v>
      </c>
      <c r="D71" s="17" t="str">
        <f>IFERROR(VLOOKUP(Results!$A71,'Columns B to F vlookup table'!$A$4:$I$21,7,FALSE),"")</f>
        <v>Summit</v>
      </c>
      <c r="E71" s="17" t="str">
        <f>IFERROR(VLOOKUP(Results!$A71,'Columns B to F vlookup table'!$A$4:$I$21,8,FALSE),"")</f>
        <v xml:space="preserve"> 66°39'53.59"N</v>
      </c>
      <c r="F71" s="17" t="str">
        <f>IFERROR(VLOOKUP(Results!$A71,'Columns B to F vlookup table'!$A$4:$I$21,9,FALSE),"")</f>
        <v xml:space="preserve"> 61°21'23.78"W</v>
      </c>
      <c r="G71" s="16"/>
      <c r="H71" s="16"/>
      <c r="I71" s="16"/>
      <c r="J71" s="20">
        <v>41475</v>
      </c>
      <c r="K71" s="20"/>
      <c r="L71" s="20"/>
      <c r="M71" s="16">
        <v>6.33</v>
      </c>
      <c r="N71" s="16" t="s">
        <v>13</v>
      </c>
      <c r="O71" s="16" t="s">
        <v>79</v>
      </c>
      <c r="P71" s="16" t="s">
        <v>6</v>
      </c>
      <c r="Q71" s="16" t="s">
        <v>8</v>
      </c>
      <c r="R71" s="16">
        <v>0.4</v>
      </c>
      <c r="S71" s="16">
        <v>1</v>
      </c>
      <c r="T71" s="16">
        <v>2</v>
      </c>
      <c r="U71" s="16" t="s">
        <v>6</v>
      </c>
      <c r="V71" s="16" t="s">
        <v>9</v>
      </c>
      <c r="W71" s="19" t="s">
        <v>6</v>
      </c>
      <c r="X71" s="16" t="s">
        <v>8</v>
      </c>
      <c r="Y71" s="16">
        <v>90</v>
      </c>
      <c r="Z71" s="16" t="s">
        <v>16</v>
      </c>
      <c r="AA71" s="16" t="s">
        <v>16</v>
      </c>
      <c r="AB71" s="16" t="s">
        <v>16</v>
      </c>
    </row>
    <row r="72" spans="1:29" x14ac:dyDescent="0.25">
      <c r="A72" s="16" t="s">
        <v>73</v>
      </c>
      <c r="B72" s="17" t="str">
        <f>IFERROR(VLOOKUP(Results!$A72,'Columns B to F vlookup table'!$A$4:$I$21,3,FALSE),"")</f>
        <v>CAM-M</v>
      </c>
      <c r="C72" s="17" t="s">
        <v>23</v>
      </c>
      <c r="D72" s="17" t="str">
        <f>IFERROR(VLOOKUP(Results!$A72,'Columns B to F vlookup table'!$A$4:$I$21,7,FALSE),"")</f>
        <v>Airstrip</v>
      </c>
      <c r="E72" s="17" t="str">
        <f>IFERROR(VLOOKUP(Results!$A72,'Columns B to F vlookup table'!$A$4:$I$21,8,FALSE),"")</f>
        <v xml:space="preserve"> 69° 6'12.01"N</v>
      </c>
      <c r="F72" s="17" t="str">
        <f>IFERROR(VLOOKUP(Results!$A72,'Columns B to F vlookup table'!$A$4:$I$21,9,FALSE),"")</f>
        <v>105° 7'36.60"W</v>
      </c>
      <c r="G72" s="16">
        <v>1511743</v>
      </c>
      <c r="H72" s="16">
        <v>1511735</v>
      </c>
      <c r="I72" s="16">
        <v>170382</v>
      </c>
      <c r="J72" s="18">
        <v>42172</v>
      </c>
      <c r="K72" s="18">
        <v>42199</v>
      </c>
      <c r="L72" s="18">
        <v>42199</v>
      </c>
      <c r="M72" s="16">
        <v>7.79</v>
      </c>
      <c r="N72" s="16" t="s">
        <v>13</v>
      </c>
      <c r="O72" s="16" t="s">
        <v>12</v>
      </c>
      <c r="P72" s="16" t="s">
        <v>6</v>
      </c>
      <c r="Q72" s="16" t="s">
        <v>8</v>
      </c>
      <c r="R72" s="16" t="s">
        <v>7</v>
      </c>
      <c r="S72" s="16">
        <v>5</v>
      </c>
      <c r="T72" s="16" t="s">
        <v>8</v>
      </c>
      <c r="U72" s="16" t="s">
        <v>6</v>
      </c>
      <c r="V72" s="16" t="s">
        <v>9</v>
      </c>
      <c r="W72" s="16" t="s">
        <v>6</v>
      </c>
      <c r="X72" s="16" t="s">
        <v>14</v>
      </c>
      <c r="Y72" s="16">
        <f>0.08*1000</f>
        <v>80</v>
      </c>
      <c r="Z72" s="16" t="s">
        <v>16</v>
      </c>
      <c r="AA72" s="16" t="s">
        <v>16</v>
      </c>
      <c r="AB72" s="16" t="s">
        <v>16</v>
      </c>
      <c r="AC72" s="2">
        <f>L72-J72</f>
        <v>27</v>
      </c>
    </row>
    <row r="73" spans="1:29" x14ac:dyDescent="0.25">
      <c r="A73" s="16" t="s">
        <v>74</v>
      </c>
      <c r="B73" s="17" t="str">
        <f>IFERROR(VLOOKUP(Results!$A73,'Columns B to F vlookup table'!$A$4:$I$21,3,FALSE),"")</f>
        <v>CAM-M</v>
      </c>
      <c r="C73" s="17" t="s">
        <v>23</v>
      </c>
      <c r="D73" s="17" t="str">
        <f>IFERROR(VLOOKUP(Results!$A73,'Columns B to F vlookup table'!$A$4:$I$21,7,FALSE),"")</f>
        <v>Beach</v>
      </c>
      <c r="E73" s="17" t="str">
        <f>IFERROR(VLOOKUP(Results!$A73,'Columns B to F vlookup table'!$A$4:$I$21,8,FALSE),"")</f>
        <v xml:space="preserve"> 69° 6'11.41"N</v>
      </c>
      <c r="F73" s="17" t="str">
        <f>IFERROR(VLOOKUP(Results!$A73,'Columns B to F vlookup table'!$A$4:$I$21,9,FALSE),"")</f>
        <v>105° 5'50.26"W</v>
      </c>
      <c r="G73" s="16">
        <v>1511741</v>
      </c>
      <c r="H73" s="16">
        <v>1511733</v>
      </c>
      <c r="I73" s="16">
        <v>170387</v>
      </c>
      <c r="J73" s="18">
        <v>42172</v>
      </c>
      <c r="K73" s="18">
        <v>42193</v>
      </c>
      <c r="L73" s="18">
        <v>42193</v>
      </c>
      <c r="M73" s="16">
        <v>7.73</v>
      </c>
      <c r="N73" s="16" t="s">
        <v>13</v>
      </c>
      <c r="O73" s="16" t="s">
        <v>12</v>
      </c>
      <c r="P73" s="16" t="s">
        <v>6</v>
      </c>
      <c r="Q73" s="16" t="s">
        <v>8</v>
      </c>
      <c r="R73" s="16" t="s">
        <v>7</v>
      </c>
      <c r="S73" s="16">
        <v>8</v>
      </c>
      <c r="T73" s="16" t="s">
        <v>8</v>
      </c>
      <c r="U73" s="16" t="s">
        <v>6</v>
      </c>
      <c r="V73" s="16" t="s">
        <v>9</v>
      </c>
      <c r="W73" s="16" t="s">
        <v>6</v>
      </c>
      <c r="X73" s="16" t="s">
        <v>14</v>
      </c>
      <c r="Y73" s="16" t="s">
        <v>15</v>
      </c>
      <c r="Z73" s="16" t="s">
        <v>16</v>
      </c>
      <c r="AA73" s="16" t="s">
        <v>16</v>
      </c>
      <c r="AB73" s="16" t="s">
        <v>16</v>
      </c>
      <c r="AC73" s="2">
        <f t="shared" ref="AC73:AC136" si="0">L73-J73</f>
        <v>21</v>
      </c>
    </row>
    <row r="74" spans="1:29" x14ac:dyDescent="0.25">
      <c r="A74" s="16" t="s">
        <v>70</v>
      </c>
      <c r="B74" s="17" t="str">
        <f>IFERROR(VLOOKUP(Results!$A74,'Columns B to F vlookup table'!$A$4:$I$21,3,FALSE),"")</f>
        <v>CAM-M</v>
      </c>
      <c r="C74" s="17" t="s">
        <v>23</v>
      </c>
      <c r="D74" s="17" t="str">
        <f>IFERROR(VLOOKUP(Results!$A74,'Columns B to F vlookup table'!$A$4:$I$21,7,FALSE),"")</f>
        <v>Summit</v>
      </c>
      <c r="E74" s="17" t="str">
        <f>IFERROR(VLOOKUP(Results!$A74,'Columns B to F vlookup table'!$A$4:$I$21,8,FALSE),"")</f>
        <v xml:space="preserve"> 69° 7'2.76"N</v>
      </c>
      <c r="F74" s="17" t="str">
        <f>IFERROR(VLOOKUP(Results!$A74,'Columns B to F vlookup table'!$A$4:$I$21,9,FALSE),"")</f>
        <v>105° 7'2.69"W</v>
      </c>
      <c r="G74" s="16">
        <v>1511742</v>
      </c>
      <c r="H74" s="16">
        <v>1511734</v>
      </c>
      <c r="I74" s="16">
        <v>170392</v>
      </c>
      <c r="J74" s="18">
        <v>42172</v>
      </c>
      <c r="K74" s="18">
        <v>42193</v>
      </c>
      <c r="L74" s="18">
        <v>42193</v>
      </c>
      <c r="M74" s="16">
        <v>7.58</v>
      </c>
      <c r="N74" s="16" t="s">
        <v>13</v>
      </c>
      <c r="O74" s="16" t="s">
        <v>12</v>
      </c>
      <c r="P74" s="16" t="s">
        <v>6</v>
      </c>
      <c r="Q74" s="16" t="s">
        <v>8</v>
      </c>
      <c r="R74" s="16" t="s">
        <v>7</v>
      </c>
      <c r="S74" s="16">
        <v>5</v>
      </c>
      <c r="T74" s="16" t="s">
        <v>8</v>
      </c>
      <c r="U74" s="16" t="s">
        <v>6</v>
      </c>
      <c r="V74" s="16" t="s">
        <v>9</v>
      </c>
      <c r="W74" s="16" t="s">
        <v>6</v>
      </c>
      <c r="X74" s="16" t="s">
        <v>14</v>
      </c>
      <c r="Y74" s="16" t="s">
        <v>15</v>
      </c>
      <c r="Z74" s="16" t="s">
        <v>16</v>
      </c>
      <c r="AA74" s="16" t="s">
        <v>16</v>
      </c>
      <c r="AB74" s="16" t="s">
        <v>16</v>
      </c>
      <c r="AC74" s="2">
        <f t="shared" si="0"/>
        <v>21</v>
      </c>
    </row>
    <row r="75" spans="1:29" x14ac:dyDescent="0.25">
      <c r="A75" s="16" t="s">
        <v>62</v>
      </c>
      <c r="B75" s="17" t="str">
        <f>IFERROR(VLOOKUP(Results!$A75,'Columns B to F vlookup table'!$A$4:$I$21,3,FALSE),"")</f>
        <v>FOX-M</v>
      </c>
      <c r="C75" s="17" t="s">
        <v>26</v>
      </c>
      <c r="D75" s="17" t="str">
        <f>IFERROR(VLOOKUP(Results!$A75,'Columns B to F vlookup table'!$A$4:$I$21,7,FALSE),"")</f>
        <v>Summit</v>
      </c>
      <c r="E75" s="17" t="str">
        <f>IFERROR(VLOOKUP(Results!$A75,'Columns B to F vlookup table'!$A$4:$I$21,8,FALSE),"")</f>
        <v xml:space="preserve"> 68°45'42.24"N</v>
      </c>
      <c r="F75" s="17" t="str">
        <f>IFERROR(VLOOKUP(Results!$A75,'Columns B to F vlookup table'!$A$4:$I$21,9,FALSE),"")</f>
        <v xml:space="preserve"> 81°13'25.04"W</v>
      </c>
      <c r="G75" s="16">
        <v>1511740</v>
      </c>
      <c r="H75" s="16">
        <v>1511732</v>
      </c>
      <c r="I75" s="16">
        <v>172483</v>
      </c>
      <c r="J75" s="18">
        <v>42174</v>
      </c>
      <c r="K75" s="18">
        <v>42199</v>
      </c>
      <c r="L75" s="18">
        <v>42199</v>
      </c>
      <c r="M75" s="16">
        <v>7.94</v>
      </c>
      <c r="N75" s="16" t="s">
        <v>13</v>
      </c>
      <c r="O75" s="16" t="s">
        <v>12</v>
      </c>
      <c r="P75" s="16" t="s">
        <v>6</v>
      </c>
      <c r="Q75" s="16" t="s">
        <v>8</v>
      </c>
      <c r="R75" s="16" t="s">
        <v>7</v>
      </c>
      <c r="S75" s="16">
        <v>2</v>
      </c>
      <c r="T75" s="16" t="s">
        <v>8</v>
      </c>
      <c r="U75" s="16" t="s">
        <v>6</v>
      </c>
      <c r="V75" s="16" t="s">
        <v>9</v>
      </c>
      <c r="W75" s="16" t="s">
        <v>6</v>
      </c>
      <c r="X75" s="16" t="s">
        <v>14</v>
      </c>
      <c r="Y75" s="16" t="s">
        <v>15</v>
      </c>
      <c r="Z75" s="16" t="s">
        <v>16</v>
      </c>
      <c r="AA75" s="16" t="s">
        <v>16</v>
      </c>
      <c r="AB75" s="16" t="s">
        <v>16</v>
      </c>
      <c r="AC75" s="2">
        <f t="shared" si="0"/>
        <v>25</v>
      </c>
    </row>
    <row r="76" spans="1:29" x14ac:dyDescent="0.25">
      <c r="A76" s="16" t="s">
        <v>59</v>
      </c>
      <c r="B76" s="17" t="str">
        <f>IFERROR(VLOOKUP(Results!$A76,'Columns B to F vlookup table'!$A$4:$I$21,3,FALSE),"")</f>
        <v>FOX-M</v>
      </c>
      <c r="C76" s="17" t="s">
        <v>26</v>
      </c>
      <c r="D76" s="17" t="str">
        <f>IFERROR(VLOOKUP(Results!$A76,'Columns B to F vlookup table'!$A$4:$I$21,7,FALSE),"")</f>
        <v>Beach</v>
      </c>
      <c r="E76" s="17" t="str">
        <f>IFERROR(VLOOKUP(Results!$A76,'Columns B to F vlookup table'!$A$4:$I$21,8,FALSE),"")</f>
        <v xml:space="preserve"> 68°46'23.93"N</v>
      </c>
      <c r="F76" s="17" t="str">
        <f>IFERROR(VLOOKUP(Results!$A76,'Columns B to F vlookup table'!$A$4:$I$21,9,FALSE),"")</f>
        <v xml:space="preserve"> 81°12'51.11"W</v>
      </c>
      <c r="G76" s="16">
        <v>1511739</v>
      </c>
      <c r="H76" s="16">
        <v>1511731</v>
      </c>
      <c r="I76" s="16">
        <v>169319</v>
      </c>
      <c r="J76" s="18">
        <v>42174</v>
      </c>
      <c r="K76" s="18">
        <v>42193</v>
      </c>
      <c r="L76" s="18">
        <v>42193</v>
      </c>
      <c r="M76" s="16">
        <v>7.9</v>
      </c>
      <c r="N76" s="16" t="s">
        <v>13</v>
      </c>
      <c r="O76" s="16" t="s">
        <v>12</v>
      </c>
      <c r="P76" s="16" t="s">
        <v>6</v>
      </c>
      <c r="Q76" s="16" t="s">
        <v>8</v>
      </c>
      <c r="R76" s="16" t="s">
        <v>7</v>
      </c>
      <c r="S76" s="16">
        <v>2</v>
      </c>
      <c r="T76" s="16" t="s">
        <v>8</v>
      </c>
      <c r="U76" s="16" t="s">
        <v>6</v>
      </c>
      <c r="V76" s="16" t="s">
        <v>9</v>
      </c>
      <c r="W76" s="16" t="s">
        <v>6</v>
      </c>
      <c r="X76" s="16" t="s">
        <v>14</v>
      </c>
      <c r="Y76" s="16">
        <v>70</v>
      </c>
      <c r="Z76" s="16" t="s">
        <v>16</v>
      </c>
      <c r="AA76" s="16" t="s">
        <v>16</v>
      </c>
      <c r="AB76" s="16" t="s">
        <v>16</v>
      </c>
      <c r="AC76" s="2">
        <f t="shared" si="0"/>
        <v>19</v>
      </c>
    </row>
    <row r="77" spans="1:29" x14ac:dyDescent="0.25">
      <c r="A77" s="16" t="s">
        <v>58</v>
      </c>
      <c r="B77" s="17" t="str">
        <f>IFERROR(VLOOKUP(Results!$A77,'Columns B to F vlookup table'!$A$4:$I$21,3,FALSE),"")</f>
        <v>FOX-M</v>
      </c>
      <c r="C77" s="17" t="s">
        <v>26</v>
      </c>
      <c r="D77" s="17" t="str">
        <f>IFERROR(VLOOKUP(Results!$A77,'Columns B to F vlookup table'!$A$4:$I$21,7,FALSE),"")</f>
        <v>Beach</v>
      </c>
      <c r="E77" s="17" t="str">
        <f>IFERROR(VLOOKUP(Results!$A77,'Columns B to F vlookup table'!$A$4:$I$21,8,FALSE),"")</f>
        <v xml:space="preserve"> 68°46'23.75"N</v>
      </c>
      <c r="F77" s="17" t="str">
        <f>IFERROR(VLOOKUP(Results!$A77,'Columns B to F vlookup table'!$A$4:$I$21,9,FALSE),"")</f>
        <v xml:space="preserve"> 81°12'46.12"W</v>
      </c>
      <c r="G77" s="16">
        <v>1511738</v>
      </c>
      <c r="H77" s="16">
        <v>1511730</v>
      </c>
      <c r="I77" s="16">
        <v>169321</v>
      </c>
      <c r="J77" s="18">
        <v>42174</v>
      </c>
      <c r="K77" s="18">
        <v>42193</v>
      </c>
      <c r="L77" s="18">
        <v>42193</v>
      </c>
      <c r="M77" s="16">
        <v>7.93</v>
      </c>
      <c r="N77" s="16" t="s">
        <v>13</v>
      </c>
      <c r="O77" s="16" t="s">
        <v>12</v>
      </c>
      <c r="P77" s="16" t="s">
        <v>6</v>
      </c>
      <c r="Q77" s="16" t="s">
        <v>8</v>
      </c>
      <c r="R77" s="16" t="s">
        <v>7</v>
      </c>
      <c r="S77" s="16">
        <v>2</v>
      </c>
      <c r="T77" s="16" t="s">
        <v>8</v>
      </c>
      <c r="U77" s="16" t="s">
        <v>6</v>
      </c>
      <c r="V77" s="16" t="s">
        <v>9</v>
      </c>
      <c r="W77" s="16" t="s">
        <v>6</v>
      </c>
      <c r="X77" s="16" t="s">
        <v>14</v>
      </c>
      <c r="Y77" s="16" t="s">
        <v>15</v>
      </c>
      <c r="Z77" s="16" t="s">
        <v>16</v>
      </c>
      <c r="AA77" s="16" t="s">
        <v>16</v>
      </c>
      <c r="AB77" s="16" t="s">
        <v>16</v>
      </c>
      <c r="AC77" s="2">
        <f t="shared" si="0"/>
        <v>19</v>
      </c>
    </row>
    <row r="78" spans="1:29" x14ac:dyDescent="0.25">
      <c r="A78" s="16" t="s">
        <v>61</v>
      </c>
      <c r="B78" s="17" t="str">
        <f>IFERROR(VLOOKUP(Results!$A78,'Columns B to F vlookup table'!$A$4:$I$21,3,FALSE),"")</f>
        <v>FOX-M</v>
      </c>
      <c r="C78" s="17" t="s">
        <v>26</v>
      </c>
      <c r="D78" s="17" t="str">
        <f>IFERROR(VLOOKUP(Results!$A78,'Columns B to F vlookup table'!$A$4:$I$21,7,FALSE),"")</f>
        <v>Summit</v>
      </c>
      <c r="E78" s="17" t="str">
        <f>IFERROR(VLOOKUP(Results!$A78,'Columns B to F vlookup table'!$A$4:$I$21,8,FALSE),"")</f>
        <v xml:space="preserve"> 68°45'43.00"N</v>
      </c>
      <c r="F78" s="17" t="str">
        <f>IFERROR(VLOOKUP(Results!$A78,'Columns B to F vlookup table'!$A$4:$I$21,9,FALSE),"")</f>
        <v xml:space="preserve"> 81°13'27.27"W</v>
      </c>
      <c r="G78" s="16">
        <v>1511737</v>
      </c>
      <c r="H78" s="16">
        <v>1511729</v>
      </c>
      <c r="I78" s="16">
        <v>172479</v>
      </c>
      <c r="J78" s="18">
        <v>42174</v>
      </c>
      <c r="K78" s="18">
        <v>42193</v>
      </c>
      <c r="L78" s="18">
        <v>42193</v>
      </c>
      <c r="M78" s="16">
        <v>7.86</v>
      </c>
      <c r="N78" s="16" t="s">
        <v>13</v>
      </c>
      <c r="O78" s="16" t="s">
        <v>12</v>
      </c>
      <c r="P78" s="16" t="s">
        <v>6</v>
      </c>
      <c r="Q78" s="16" t="s">
        <v>8</v>
      </c>
      <c r="R78" s="16" t="s">
        <v>7</v>
      </c>
      <c r="S78" s="16">
        <v>3</v>
      </c>
      <c r="T78" s="16" t="s">
        <v>8</v>
      </c>
      <c r="U78" s="16" t="s">
        <v>6</v>
      </c>
      <c r="V78" s="16" t="s">
        <v>9</v>
      </c>
      <c r="W78" s="16" t="s">
        <v>6</v>
      </c>
      <c r="X78" s="16" t="s">
        <v>14</v>
      </c>
      <c r="Y78" s="16" t="s">
        <v>15</v>
      </c>
      <c r="Z78" s="16" t="s">
        <v>16</v>
      </c>
      <c r="AA78" s="16" t="s">
        <v>16</v>
      </c>
      <c r="AB78" s="16" t="s">
        <v>16</v>
      </c>
      <c r="AC78" s="2">
        <f t="shared" si="0"/>
        <v>19</v>
      </c>
    </row>
    <row r="79" spans="1:29" x14ac:dyDescent="0.25">
      <c r="A79" s="16" t="s">
        <v>60</v>
      </c>
      <c r="B79" s="17" t="str">
        <f>IFERROR(VLOOKUP(Results!$A79,'Columns B to F vlookup table'!$A$4:$I$21,3,FALSE),"")</f>
        <v>FOX-M</v>
      </c>
      <c r="C79" s="17" t="s">
        <v>26</v>
      </c>
      <c r="D79" s="17" t="str">
        <f>IFERROR(VLOOKUP(Results!$A79,'Columns B to F vlookup table'!$A$4:$I$21,7,FALSE),"")</f>
        <v>Airstrip</v>
      </c>
      <c r="E79" s="17" t="str">
        <f>IFERROR(VLOOKUP(Results!$A79,'Columns B to F vlookup table'!$A$4:$I$21,8,FALSE),"")</f>
        <v xml:space="preserve"> 68°46'15.85"N</v>
      </c>
      <c r="F79" s="17" t="str">
        <f>IFERROR(VLOOKUP(Results!$A79,'Columns B to F vlookup table'!$A$4:$I$21,9,FALSE),"")</f>
        <v xml:space="preserve"> 81°13'58.33"W</v>
      </c>
      <c r="G79" s="16">
        <v>1511744</v>
      </c>
      <c r="H79" s="16">
        <v>1511736</v>
      </c>
      <c r="I79" s="16">
        <v>172476</v>
      </c>
      <c r="J79" s="18">
        <v>42174</v>
      </c>
      <c r="K79" s="18">
        <v>42199</v>
      </c>
      <c r="L79" s="18">
        <v>42199</v>
      </c>
      <c r="M79" s="16">
        <v>8.11</v>
      </c>
      <c r="N79" s="16" t="s">
        <v>13</v>
      </c>
      <c r="O79" s="16" t="s">
        <v>12</v>
      </c>
      <c r="P79" s="16" t="s">
        <v>6</v>
      </c>
      <c r="Q79" s="16" t="s">
        <v>8</v>
      </c>
      <c r="R79" s="16">
        <v>0.7</v>
      </c>
      <c r="S79" s="16">
        <v>2</v>
      </c>
      <c r="T79" s="16" t="s">
        <v>8</v>
      </c>
      <c r="U79" s="16" t="s">
        <v>6</v>
      </c>
      <c r="V79" s="16" t="s">
        <v>9</v>
      </c>
      <c r="W79" s="16" t="s">
        <v>6</v>
      </c>
      <c r="X79" s="16" t="s">
        <v>14</v>
      </c>
      <c r="Y79" s="16" t="s">
        <v>15</v>
      </c>
      <c r="Z79" s="16" t="s">
        <v>16</v>
      </c>
      <c r="AA79" s="16" t="s">
        <v>16</v>
      </c>
      <c r="AB79" s="16" t="s">
        <v>16</v>
      </c>
      <c r="AC79" s="2">
        <f t="shared" si="0"/>
        <v>25</v>
      </c>
    </row>
    <row r="80" spans="1:29" x14ac:dyDescent="0.25">
      <c r="A80" s="16" t="s">
        <v>63</v>
      </c>
      <c r="B80" s="17" t="str">
        <f>IFERROR(VLOOKUP(Results!$A80,'Columns B to F vlookup table'!$A$4:$I$21,3,FALSE),"")</f>
        <v>FOX-3</v>
      </c>
      <c r="C80" s="17" t="s">
        <v>25</v>
      </c>
      <c r="D80" s="17" t="str">
        <f>IFERROR(VLOOKUP(Results!$A80,'Columns B to F vlookup table'!$A$4:$I$21,7,FALSE),"")</f>
        <v>Summit</v>
      </c>
      <c r="E80" s="17" t="str">
        <f>IFERROR(VLOOKUP(Results!$A80,'Columns B to F vlookup table'!$A$4:$I$21,8,FALSE),"")</f>
        <v xml:space="preserve"> 68°39'3.67"N</v>
      </c>
      <c r="F80" s="17" t="str">
        <f>IFERROR(VLOOKUP(Results!$A80,'Columns B to F vlookup table'!$A$4:$I$21,9,FALSE),"")</f>
        <v xml:space="preserve"> 71°13'49.97"W</v>
      </c>
      <c r="G80" s="16">
        <v>1512754</v>
      </c>
      <c r="H80" s="16">
        <v>1512756</v>
      </c>
      <c r="I80" s="16">
        <v>132969</v>
      </c>
      <c r="J80" s="18">
        <v>42185</v>
      </c>
      <c r="K80" s="18">
        <v>42201</v>
      </c>
      <c r="L80" s="18">
        <v>42201</v>
      </c>
      <c r="M80" s="16">
        <v>6.96</v>
      </c>
      <c r="N80" s="16">
        <v>2000</v>
      </c>
      <c r="O80" s="16" t="s">
        <v>12</v>
      </c>
      <c r="P80" s="16">
        <v>1.1000000000000001</v>
      </c>
      <c r="Q80" s="16" t="s">
        <v>8</v>
      </c>
      <c r="R80" s="16">
        <v>1.3</v>
      </c>
      <c r="S80" s="16">
        <v>7</v>
      </c>
      <c r="T80" s="16" t="s">
        <v>8</v>
      </c>
      <c r="U80" s="16" t="s">
        <v>6</v>
      </c>
      <c r="V80" s="16">
        <v>10</v>
      </c>
      <c r="W80" s="16" t="s">
        <v>6</v>
      </c>
      <c r="X80" s="16" t="s">
        <v>14</v>
      </c>
      <c r="Y80" s="16" t="s">
        <v>15</v>
      </c>
      <c r="Z80" s="16" t="s">
        <v>16</v>
      </c>
      <c r="AA80" s="16" t="s">
        <v>16</v>
      </c>
      <c r="AB80" s="16">
        <v>0.5</v>
      </c>
      <c r="AC80" s="2">
        <f t="shared" si="0"/>
        <v>16</v>
      </c>
    </row>
    <row r="81" spans="1:29" x14ac:dyDescent="0.25">
      <c r="A81" s="16" t="s">
        <v>65</v>
      </c>
      <c r="B81" s="17" t="str">
        <f>IFERROR(VLOOKUP(Results!$A81,'Columns B to F vlookup table'!$A$4:$I$21,3,FALSE),"")</f>
        <v>FOX-3</v>
      </c>
      <c r="C81" s="17" t="s">
        <v>25</v>
      </c>
      <c r="D81" s="17" t="str">
        <f>IFERROR(VLOOKUP(Results!$A81,'Columns B to F vlookup table'!$A$4:$I$21,7,FALSE),"")</f>
        <v>Airstrip</v>
      </c>
      <c r="E81" s="17" t="str">
        <f>IFERROR(VLOOKUP(Results!$A81,'Columns B to F vlookup table'!$A$4:$I$21,8,FALSE),"")</f>
        <v xml:space="preserve"> 68°37'24.90"N</v>
      </c>
      <c r="F81" s="17" t="str">
        <f>IFERROR(VLOOKUP(Results!$A81,'Columns B to F vlookup table'!$A$4:$I$21,9,FALSE),"")</f>
        <v xml:space="preserve"> 71° 8'5.62"W</v>
      </c>
      <c r="G81" s="16">
        <v>1512829</v>
      </c>
      <c r="H81" s="16">
        <v>1512830</v>
      </c>
      <c r="I81" s="16">
        <v>128318</v>
      </c>
      <c r="J81" s="18">
        <v>42185</v>
      </c>
      <c r="K81" s="18">
        <v>42201</v>
      </c>
      <c r="L81" s="18">
        <v>42201</v>
      </c>
      <c r="M81" s="16">
        <v>6.41</v>
      </c>
      <c r="N81" s="16" t="s">
        <v>13</v>
      </c>
      <c r="O81" s="16" t="s">
        <v>12</v>
      </c>
      <c r="P81" s="16">
        <v>0.2</v>
      </c>
      <c r="Q81" s="16" t="s">
        <v>8</v>
      </c>
      <c r="R81" s="16">
        <v>1.3</v>
      </c>
      <c r="S81" s="16">
        <v>4</v>
      </c>
      <c r="T81" s="16" t="s">
        <v>8</v>
      </c>
      <c r="U81" s="16" t="s">
        <v>6</v>
      </c>
      <c r="V81" s="16">
        <v>15</v>
      </c>
      <c r="W81" s="16" t="s">
        <v>6</v>
      </c>
      <c r="X81" s="16" t="s">
        <v>14</v>
      </c>
      <c r="Y81" s="16">
        <v>120</v>
      </c>
      <c r="Z81" s="16" t="s">
        <v>16</v>
      </c>
      <c r="AA81" s="16" t="s">
        <v>16</v>
      </c>
      <c r="AB81" s="16" t="s">
        <v>16</v>
      </c>
      <c r="AC81" s="2">
        <f t="shared" si="0"/>
        <v>16</v>
      </c>
    </row>
    <row r="82" spans="1:29" x14ac:dyDescent="0.25">
      <c r="A82" s="16" t="s">
        <v>64</v>
      </c>
      <c r="B82" s="17" t="str">
        <f>IFERROR(VLOOKUP(Results!$A82,'Columns B to F vlookup table'!$A$4:$I$21,3,FALSE),"")</f>
        <v>FOX-3</v>
      </c>
      <c r="C82" s="17" t="s">
        <v>25</v>
      </c>
      <c r="D82" s="17" t="str">
        <f>IFERROR(VLOOKUP(Results!$A82,'Columns B to F vlookup table'!$A$4:$I$21,7,FALSE),"")</f>
        <v>Summit</v>
      </c>
      <c r="E82" s="17" t="str">
        <f>IFERROR(VLOOKUP(Results!$A82,'Columns B to F vlookup table'!$A$4:$I$21,8,FALSE),"")</f>
        <v xml:space="preserve"> 68°39'5.43"N</v>
      </c>
      <c r="F82" s="17" t="str">
        <f>IFERROR(VLOOKUP(Results!$A82,'Columns B to F vlookup table'!$A$4:$I$21,9,FALSE),"")</f>
        <v xml:space="preserve"> 71°14'3.23"W</v>
      </c>
      <c r="G82" s="16">
        <v>1512831</v>
      </c>
      <c r="H82" s="16">
        <v>1512832</v>
      </c>
      <c r="I82" s="16">
        <v>130439</v>
      </c>
      <c r="J82" s="18">
        <v>42185</v>
      </c>
      <c r="K82" s="18">
        <v>42201</v>
      </c>
      <c r="L82" s="18">
        <v>42201</v>
      </c>
      <c r="M82" s="16">
        <v>6.43</v>
      </c>
      <c r="N82" s="16" t="s">
        <v>13</v>
      </c>
      <c r="O82" s="16" t="s">
        <v>12</v>
      </c>
      <c r="P82" s="16">
        <v>0.1</v>
      </c>
      <c r="Q82" s="16" t="s">
        <v>8</v>
      </c>
      <c r="R82" s="16">
        <v>1</v>
      </c>
      <c r="S82" s="16">
        <v>2</v>
      </c>
      <c r="T82" s="16" t="s">
        <v>8</v>
      </c>
      <c r="U82" s="16" t="s">
        <v>6</v>
      </c>
      <c r="V82" s="16" t="s">
        <v>9</v>
      </c>
      <c r="W82" s="16" t="s">
        <v>6</v>
      </c>
      <c r="X82" s="16" t="s">
        <v>14</v>
      </c>
      <c r="Y82" s="16">
        <v>120</v>
      </c>
      <c r="Z82" s="16" t="s">
        <v>16</v>
      </c>
      <c r="AA82" s="16" t="s">
        <v>16</v>
      </c>
      <c r="AB82" s="16" t="s">
        <v>16</v>
      </c>
      <c r="AC82" s="2">
        <f t="shared" si="0"/>
        <v>16</v>
      </c>
    </row>
    <row r="83" spans="1:29" x14ac:dyDescent="0.25">
      <c r="A83" s="16" t="s">
        <v>67</v>
      </c>
      <c r="B83" s="17" t="str">
        <f>IFERROR(VLOOKUP(Results!$A83,'Columns B to F vlookup table'!$A$4:$I$21,3,FALSE),"")</f>
        <v>DYE-M</v>
      </c>
      <c r="C83" s="17" t="s">
        <v>27</v>
      </c>
      <c r="D83" s="17" t="str">
        <f>IFERROR(VLOOKUP(Results!$A83,'Columns B to F vlookup table'!$A$4:$I$21,7,FALSE),"")</f>
        <v>Summit</v>
      </c>
      <c r="E83" s="17" t="str">
        <f>IFERROR(VLOOKUP(Results!$A83,'Columns B to F vlookup table'!$A$4:$I$21,8,FALSE),"")</f>
        <v xml:space="preserve"> 66°40'0.13"N</v>
      </c>
      <c r="F83" s="17" t="str">
        <f>IFERROR(VLOOKUP(Results!$A83,'Columns B to F vlookup table'!$A$4:$I$21,9,FALSE),"")</f>
        <v xml:space="preserve"> 61°21'25.76"W</v>
      </c>
      <c r="G83" s="16">
        <v>1514361</v>
      </c>
      <c r="H83" s="16">
        <v>1514362</v>
      </c>
      <c r="I83" s="16">
        <v>173183</v>
      </c>
      <c r="J83" s="18">
        <v>42207</v>
      </c>
      <c r="K83" s="18">
        <v>42235</v>
      </c>
      <c r="L83" s="18">
        <v>42235</v>
      </c>
      <c r="M83" s="22">
        <v>6.25</v>
      </c>
      <c r="N83" s="22">
        <v>2000</v>
      </c>
      <c r="O83" s="22" t="s">
        <v>12</v>
      </c>
      <c r="P83" s="16" t="s">
        <v>6</v>
      </c>
      <c r="Q83" s="16" t="s">
        <v>8</v>
      </c>
      <c r="R83" s="16">
        <v>0.2</v>
      </c>
      <c r="S83" s="16" t="s">
        <v>8</v>
      </c>
      <c r="T83" s="16" t="s">
        <v>8</v>
      </c>
      <c r="U83" s="22" t="s">
        <v>6</v>
      </c>
      <c r="V83" s="22" t="s">
        <v>9</v>
      </c>
      <c r="W83" s="22" t="s">
        <v>6</v>
      </c>
      <c r="X83" s="22" t="s">
        <v>14</v>
      </c>
      <c r="Y83" s="22">
        <v>30</v>
      </c>
      <c r="Z83" s="22" t="s">
        <v>16</v>
      </c>
      <c r="AA83" s="22" t="s">
        <v>16</v>
      </c>
      <c r="AB83" s="22" t="s">
        <v>16</v>
      </c>
      <c r="AC83" s="2">
        <f t="shared" si="0"/>
        <v>28</v>
      </c>
    </row>
    <row r="84" spans="1:29" x14ac:dyDescent="0.25">
      <c r="A84" s="16" t="s">
        <v>66</v>
      </c>
      <c r="B84" s="17" t="str">
        <f>IFERROR(VLOOKUP(Results!$A84,'Columns B to F vlookup table'!$A$4:$I$21,3,FALSE),"")</f>
        <v>DYE-M</v>
      </c>
      <c r="C84" s="17" t="s">
        <v>27</v>
      </c>
      <c r="D84" s="17" t="str">
        <f>IFERROR(VLOOKUP(Results!$A84,'Columns B to F vlookup table'!$A$4:$I$21,7,FALSE),"")</f>
        <v>Summit</v>
      </c>
      <c r="E84" s="17" t="str">
        <f>IFERROR(VLOOKUP(Results!$A84,'Columns B to F vlookup table'!$A$4:$I$21,8,FALSE),"")</f>
        <v xml:space="preserve"> 66°39'53.59"N</v>
      </c>
      <c r="F84" s="17" t="str">
        <f>IFERROR(VLOOKUP(Results!$A84,'Columns B to F vlookup table'!$A$4:$I$21,9,FALSE),"")</f>
        <v xml:space="preserve"> 61°21'23.78"W</v>
      </c>
      <c r="G84" s="16">
        <v>1514363</v>
      </c>
      <c r="H84" s="16">
        <v>1514364</v>
      </c>
      <c r="I84" s="16">
        <v>173193</v>
      </c>
      <c r="J84" s="18">
        <v>42207</v>
      </c>
      <c r="K84" s="18">
        <v>42235</v>
      </c>
      <c r="L84" s="18">
        <v>42235</v>
      </c>
      <c r="M84" s="22">
        <v>8.26</v>
      </c>
      <c r="N84" s="22">
        <v>2000</v>
      </c>
      <c r="O84" s="22" t="s">
        <v>12</v>
      </c>
      <c r="P84" s="22" t="s">
        <v>6</v>
      </c>
      <c r="Q84" s="22" t="s">
        <v>8</v>
      </c>
      <c r="R84" s="22" t="s">
        <v>7</v>
      </c>
      <c r="S84" s="22">
        <v>3</v>
      </c>
      <c r="T84" s="22" t="s">
        <v>8</v>
      </c>
      <c r="U84" s="22" t="s">
        <v>6</v>
      </c>
      <c r="V84" s="16" t="s">
        <v>9</v>
      </c>
      <c r="W84" s="22" t="s">
        <v>6</v>
      </c>
      <c r="X84" s="22" t="s">
        <v>14</v>
      </c>
      <c r="Y84" s="22">
        <f>0.1*1000</f>
        <v>100</v>
      </c>
      <c r="Z84" s="22" t="s">
        <v>16</v>
      </c>
      <c r="AA84" s="22" t="s">
        <v>16</v>
      </c>
      <c r="AB84" s="22" t="s">
        <v>16</v>
      </c>
      <c r="AC84" s="2">
        <f t="shared" si="0"/>
        <v>28</v>
      </c>
    </row>
    <row r="85" spans="1:29" x14ac:dyDescent="0.25">
      <c r="A85" s="16" t="s">
        <v>70</v>
      </c>
      <c r="B85" s="17" t="str">
        <f>IFERROR(VLOOKUP(Results!$A85,'Columns B to F vlookup table'!$A$4:$I$21,3,FALSE),"")</f>
        <v>CAM-M</v>
      </c>
      <c r="C85" s="17" t="s">
        <v>23</v>
      </c>
      <c r="D85" s="17" t="str">
        <f>IFERROR(VLOOKUP(Results!$A85,'Columns B to F vlookup table'!$A$4:$I$21,7,FALSE),"")</f>
        <v>Summit</v>
      </c>
      <c r="E85" s="17" t="str">
        <f>IFERROR(VLOOKUP(Results!$A85,'Columns B to F vlookup table'!$A$4:$I$21,8,FALSE),"")</f>
        <v xml:space="preserve"> 69° 7'2.76"N</v>
      </c>
      <c r="F85" s="17" t="str">
        <f>IFERROR(VLOOKUP(Results!$A85,'Columns B to F vlookup table'!$A$4:$I$21,9,FALSE),"")</f>
        <v>105° 7'2.69"W</v>
      </c>
      <c r="G85" s="16">
        <v>1609592</v>
      </c>
      <c r="H85" s="16">
        <v>1609591</v>
      </c>
      <c r="I85" s="16">
        <v>170390</v>
      </c>
      <c r="J85" s="18">
        <v>42528</v>
      </c>
      <c r="K85" s="18">
        <v>42541</v>
      </c>
      <c r="L85" s="18">
        <v>42541</v>
      </c>
      <c r="M85" s="16">
        <v>7.54</v>
      </c>
      <c r="N85" s="16" t="s">
        <v>81</v>
      </c>
      <c r="O85" s="16" t="s">
        <v>12</v>
      </c>
      <c r="P85" s="16" t="s">
        <v>6</v>
      </c>
      <c r="Q85" s="16" t="s">
        <v>8</v>
      </c>
      <c r="R85" s="16" t="s">
        <v>7</v>
      </c>
      <c r="S85" s="16">
        <v>7</v>
      </c>
      <c r="T85" s="16" t="s">
        <v>8</v>
      </c>
      <c r="U85" s="16" t="s">
        <v>6</v>
      </c>
      <c r="V85" s="16" t="s">
        <v>9</v>
      </c>
      <c r="W85" s="16" t="s">
        <v>6</v>
      </c>
      <c r="X85" s="16" t="s">
        <v>8</v>
      </c>
      <c r="Y85" s="16" t="s">
        <v>15</v>
      </c>
      <c r="Z85" s="16" t="s">
        <v>16</v>
      </c>
      <c r="AA85" s="16" t="s">
        <v>16</v>
      </c>
      <c r="AB85" s="16" t="s">
        <v>16</v>
      </c>
      <c r="AC85" s="2">
        <f t="shared" si="0"/>
        <v>13</v>
      </c>
    </row>
    <row r="86" spans="1:29" x14ac:dyDescent="0.25">
      <c r="A86" s="16" t="s">
        <v>73</v>
      </c>
      <c r="B86" s="17" t="str">
        <f>IFERROR(VLOOKUP(Results!$A86,'Columns B to F vlookup table'!$A$4:$I$21,3,FALSE),"")</f>
        <v>CAM-M</v>
      </c>
      <c r="C86" s="17" t="s">
        <v>23</v>
      </c>
      <c r="D86" s="17" t="str">
        <f>IFERROR(VLOOKUP(Results!$A86,'Columns B to F vlookup table'!$A$4:$I$21,7,FALSE),"")</f>
        <v>Airstrip</v>
      </c>
      <c r="E86" s="17" t="str">
        <f>IFERROR(VLOOKUP(Results!$A86,'Columns B to F vlookup table'!$A$4:$I$21,8,FALSE),"")</f>
        <v xml:space="preserve"> 69° 6'12.01"N</v>
      </c>
      <c r="F86" s="17" t="str">
        <f>IFERROR(VLOOKUP(Results!$A86,'Columns B to F vlookup table'!$A$4:$I$21,9,FALSE),"")</f>
        <v>105° 7'36.60"W</v>
      </c>
      <c r="G86" s="16">
        <v>1609588</v>
      </c>
      <c r="H86" s="16">
        <v>1609586</v>
      </c>
      <c r="I86" s="16">
        <v>176795</v>
      </c>
      <c r="J86" s="18">
        <v>42528</v>
      </c>
      <c r="K86" s="18">
        <v>42541</v>
      </c>
      <c r="L86" s="18">
        <v>42541</v>
      </c>
      <c r="M86" s="16">
        <v>7.48</v>
      </c>
      <c r="N86" s="16" t="s">
        <v>81</v>
      </c>
      <c r="O86" s="16" t="s">
        <v>12</v>
      </c>
      <c r="P86" s="16" t="s">
        <v>6</v>
      </c>
      <c r="Q86" s="16" t="s">
        <v>8</v>
      </c>
      <c r="R86" s="16">
        <v>0.6</v>
      </c>
      <c r="S86" s="16">
        <v>5</v>
      </c>
      <c r="T86" s="16" t="s">
        <v>8</v>
      </c>
      <c r="U86" s="16" t="s">
        <v>6</v>
      </c>
      <c r="V86" s="16" t="s">
        <v>9</v>
      </c>
      <c r="W86" s="16" t="s">
        <v>6</v>
      </c>
      <c r="X86" s="16" t="s">
        <v>8</v>
      </c>
      <c r="Y86" s="16">
        <f>0.07*1000</f>
        <v>70</v>
      </c>
      <c r="Z86" s="16" t="s">
        <v>16</v>
      </c>
      <c r="AA86" s="16" t="s">
        <v>16</v>
      </c>
      <c r="AB86" s="16" t="s">
        <v>16</v>
      </c>
      <c r="AC86" s="2">
        <f t="shared" si="0"/>
        <v>13</v>
      </c>
    </row>
    <row r="87" spans="1:29" x14ac:dyDescent="0.25">
      <c r="A87" s="16" t="s">
        <v>74</v>
      </c>
      <c r="B87" s="17" t="str">
        <f>IFERROR(VLOOKUP(Results!$A87,'Columns B to F vlookup table'!$A$4:$I$21,3,FALSE),"")</f>
        <v>CAM-M</v>
      </c>
      <c r="C87" s="17" t="s">
        <v>23</v>
      </c>
      <c r="D87" s="17" t="str">
        <f>IFERROR(VLOOKUP(Results!$A87,'Columns B to F vlookup table'!$A$4:$I$21,7,FALSE),"")</f>
        <v>Beach</v>
      </c>
      <c r="E87" s="17" t="str">
        <f>IFERROR(VLOOKUP(Results!$A87,'Columns B to F vlookup table'!$A$4:$I$21,8,FALSE),"")</f>
        <v xml:space="preserve"> 69° 6'11.41"N</v>
      </c>
      <c r="F87" s="17" t="str">
        <f>IFERROR(VLOOKUP(Results!$A87,'Columns B to F vlookup table'!$A$4:$I$21,9,FALSE),"")</f>
        <v>105° 5'50.26"W</v>
      </c>
      <c r="G87" s="16">
        <v>1609589</v>
      </c>
      <c r="H87" s="16">
        <v>1609590</v>
      </c>
      <c r="I87" s="16">
        <v>170389</v>
      </c>
      <c r="J87" s="18">
        <v>42528</v>
      </c>
      <c r="K87" s="18">
        <v>42541</v>
      </c>
      <c r="L87" s="18">
        <v>42541</v>
      </c>
      <c r="M87" s="16">
        <v>7.53</v>
      </c>
      <c r="N87" s="16" t="s">
        <v>81</v>
      </c>
      <c r="O87" s="16" t="s">
        <v>12</v>
      </c>
      <c r="P87" s="16" t="s">
        <v>6</v>
      </c>
      <c r="Q87" s="16" t="s">
        <v>8</v>
      </c>
      <c r="R87" s="16" t="s">
        <v>7</v>
      </c>
      <c r="S87" s="16">
        <v>7</v>
      </c>
      <c r="T87" s="16" t="s">
        <v>8</v>
      </c>
      <c r="U87" s="16" t="s">
        <v>6</v>
      </c>
      <c r="V87" s="16" t="s">
        <v>9</v>
      </c>
      <c r="W87" s="16" t="s">
        <v>6</v>
      </c>
      <c r="X87" s="16" t="s">
        <v>8</v>
      </c>
      <c r="Y87" s="16" t="s">
        <v>15</v>
      </c>
      <c r="Z87" s="16" t="s">
        <v>16</v>
      </c>
      <c r="AA87" s="16" t="s">
        <v>16</v>
      </c>
      <c r="AB87" s="16" t="s">
        <v>16</v>
      </c>
      <c r="AC87" s="2">
        <f t="shared" si="0"/>
        <v>13</v>
      </c>
    </row>
    <row r="88" spans="1:29" x14ac:dyDescent="0.25">
      <c r="A88" s="16" t="s">
        <v>56</v>
      </c>
      <c r="B88" s="17" t="str">
        <f>IFERROR(VLOOKUP(Results!$A88,'Columns B to F vlookup table'!$A$4:$I$21,3,FALSE),"")</f>
        <v>CAM-3</v>
      </c>
      <c r="C88" s="17" t="s">
        <v>22</v>
      </c>
      <c r="D88" s="17" t="str">
        <f>IFERROR(VLOOKUP(Results!$A88,'Columns B to F vlookup table'!$A$4:$I$21,7,FALSE),"")</f>
        <v>Summit</v>
      </c>
      <c r="E88" s="17" t="str">
        <f>IFERROR(VLOOKUP(Results!$A88,'Columns B to F vlookup table'!$A$4:$I$21,8,FALSE),"")</f>
        <v xml:space="preserve"> 68°47'42.00"N</v>
      </c>
      <c r="F88" s="17" t="str">
        <f>IFERROR(VLOOKUP(Results!$A88,'Columns B to F vlookup table'!$A$4:$I$21,9,FALSE),"")</f>
        <v xml:space="preserve"> 93°26'19.58"W</v>
      </c>
      <c r="G88" s="16">
        <v>1610452</v>
      </c>
      <c r="H88" s="16">
        <v>1610453</v>
      </c>
      <c r="I88" s="16">
        <v>170388</v>
      </c>
      <c r="J88" s="18">
        <v>42538</v>
      </c>
      <c r="K88" s="18">
        <v>42549</v>
      </c>
      <c r="L88" s="18">
        <v>42549</v>
      </c>
      <c r="M88" s="16">
        <v>7.77</v>
      </c>
      <c r="N88" s="16" t="s">
        <v>13</v>
      </c>
      <c r="O88" s="16" t="s">
        <v>12</v>
      </c>
      <c r="P88" s="16" t="s">
        <v>6</v>
      </c>
      <c r="Q88" s="16">
        <v>2</v>
      </c>
      <c r="R88" s="16" t="s">
        <v>7</v>
      </c>
      <c r="S88" s="16">
        <v>12</v>
      </c>
      <c r="T88" s="16" t="s">
        <v>8</v>
      </c>
      <c r="U88" s="16" t="s">
        <v>6</v>
      </c>
      <c r="V88" s="16" t="s">
        <v>9</v>
      </c>
      <c r="W88" s="16" t="s">
        <v>6</v>
      </c>
      <c r="X88" s="16" t="s">
        <v>8</v>
      </c>
      <c r="Y88" s="16" t="s">
        <v>15</v>
      </c>
      <c r="Z88" s="16" t="s">
        <v>16</v>
      </c>
      <c r="AA88" s="16" t="s">
        <v>16</v>
      </c>
      <c r="AB88" s="16" t="s">
        <v>16</v>
      </c>
      <c r="AC88" s="2">
        <f t="shared" si="0"/>
        <v>11</v>
      </c>
    </row>
    <row r="89" spans="1:29" x14ac:dyDescent="0.25">
      <c r="A89" s="16" t="s">
        <v>57</v>
      </c>
      <c r="B89" s="17" t="str">
        <f>IFERROR(VLOOKUP(Results!$A89,'Columns B to F vlookup table'!$A$4:$I$21,3,FALSE),"")</f>
        <v>CAM-3</v>
      </c>
      <c r="C89" s="17" t="s">
        <v>22</v>
      </c>
      <c r="D89" s="17" t="str">
        <f>IFERROR(VLOOKUP(Results!$A89,'Columns B to F vlookup table'!$A$4:$I$21,7,FALSE),"")</f>
        <v>Beach</v>
      </c>
      <c r="E89" s="17" t="str">
        <f>IFERROR(VLOOKUP(Results!$A89,'Columns B to F vlookup table'!$A$4:$I$21,8,FALSE),"")</f>
        <v xml:space="preserve"> 68°48'7.82"N</v>
      </c>
      <c r="F89" s="17" t="str">
        <f>IFERROR(VLOOKUP(Results!$A89,'Columns B to F vlookup table'!$A$4:$I$21,9,FALSE),"")</f>
        <v xml:space="preserve"> 93°36'50.12"W</v>
      </c>
      <c r="G89" s="16">
        <v>1610451</v>
      </c>
      <c r="H89" s="16">
        <v>1610448</v>
      </c>
      <c r="I89" s="16">
        <v>176791</v>
      </c>
      <c r="J89" s="18">
        <v>42538</v>
      </c>
      <c r="K89" s="18">
        <v>42549</v>
      </c>
      <c r="L89" s="18">
        <v>42549</v>
      </c>
      <c r="M89" s="16">
        <v>7.58</v>
      </c>
      <c r="N89" s="16" t="s">
        <v>13</v>
      </c>
      <c r="O89" s="16" t="s">
        <v>12</v>
      </c>
      <c r="P89" s="16" t="s">
        <v>6</v>
      </c>
      <c r="Q89" s="16" t="s">
        <v>8</v>
      </c>
      <c r="R89" s="16" t="s">
        <v>14</v>
      </c>
      <c r="S89" s="16" t="s">
        <v>8</v>
      </c>
      <c r="T89" s="16" t="s">
        <v>8</v>
      </c>
      <c r="U89" s="16" t="s">
        <v>6</v>
      </c>
      <c r="V89" s="16" t="s">
        <v>9</v>
      </c>
      <c r="W89" s="16" t="s">
        <v>6</v>
      </c>
      <c r="X89" s="16" t="s">
        <v>8</v>
      </c>
      <c r="Y89" s="16" t="s">
        <v>15</v>
      </c>
      <c r="Z89" s="16" t="s">
        <v>16</v>
      </c>
      <c r="AA89" s="16" t="s">
        <v>16</v>
      </c>
      <c r="AB89" s="16" t="s">
        <v>16</v>
      </c>
      <c r="AC89" s="2">
        <f t="shared" si="0"/>
        <v>11</v>
      </c>
    </row>
    <row r="90" spans="1:29" x14ac:dyDescent="0.25">
      <c r="A90" s="16" t="s">
        <v>63</v>
      </c>
      <c r="B90" s="17" t="str">
        <f>IFERROR(VLOOKUP(Results!$A90,'Columns B to F vlookup table'!$A$4:$I$21,3,FALSE),"")</f>
        <v>FOX-3</v>
      </c>
      <c r="C90" s="17" t="s">
        <v>25</v>
      </c>
      <c r="D90" s="17" t="str">
        <f>IFERROR(VLOOKUP(Results!$A90,'Columns B to F vlookup table'!$A$4:$I$21,7,FALSE),"")</f>
        <v>Summit</v>
      </c>
      <c r="E90" s="17" t="str">
        <f>IFERROR(VLOOKUP(Results!$A90,'Columns B to F vlookup table'!$A$4:$I$21,8,FALSE),"")</f>
        <v xml:space="preserve"> 68°39'3.67"N</v>
      </c>
      <c r="F90" s="17" t="str">
        <f>IFERROR(VLOOKUP(Results!$A90,'Columns B to F vlookup table'!$A$4:$I$21,9,FALSE),"")</f>
        <v xml:space="preserve"> 71°13'49.97"W</v>
      </c>
      <c r="G90" s="16">
        <v>1610688</v>
      </c>
      <c r="H90" s="16">
        <v>1610687</v>
      </c>
      <c r="I90" s="16">
        <v>172477</v>
      </c>
      <c r="J90" s="18">
        <v>42543</v>
      </c>
      <c r="K90" s="18">
        <v>42555</v>
      </c>
      <c r="L90" s="18">
        <v>42556</v>
      </c>
      <c r="M90" s="16">
        <v>6.63</v>
      </c>
      <c r="N90" s="16" t="s">
        <v>13</v>
      </c>
      <c r="O90" s="16" t="s">
        <v>12</v>
      </c>
      <c r="P90" s="16">
        <v>0.7</v>
      </c>
      <c r="Q90" s="16" t="s">
        <v>8</v>
      </c>
      <c r="R90" s="16">
        <f>0.001*1000</f>
        <v>1</v>
      </c>
      <c r="S90" s="16">
        <v>6</v>
      </c>
      <c r="T90" s="16" t="s">
        <v>8</v>
      </c>
      <c r="U90" s="16" t="s">
        <v>6</v>
      </c>
      <c r="V90" s="16">
        <v>7</v>
      </c>
      <c r="W90" s="16" t="s">
        <v>6</v>
      </c>
      <c r="X90" s="16" t="s">
        <v>8</v>
      </c>
      <c r="Y90" s="16">
        <f>0.06*1000</f>
        <v>60</v>
      </c>
      <c r="Z90" s="16" t="s">
        <v>16</v>
      </c>
      <c r="AA90" s="16" t="s">
        <v>16</v>
      </c>
      <c r="AB90" s="16" t="s">
        <v>16</v>
      </c>
      <c r="AC90" s="2">
        <f t="shared" si="0"/>
        <v>13</v>
      </c>
    </row>
    <row r="91" spans="1:29" x14ac:dyDescent="0.25">
      <c r="A91" s="16" t="s">
        <v>64</v>
      </c>
      <c r="B91" s="17" t="str">
        <f>IFERROR(VLOOKUP(Results!$A91,'Columns B to F vlookup table'!$A$4:$I$21,3,FALSE),"")</f>
        <v>FOX-3</v>
      </c>
      <c r="C91" s="17" t="s">
        <v>25</v>
      </c>
      <c r="D91" s="17" t="str">
        <f>IFERROR(VLOOKUP(Results!$A91,'Columns B to F vlookup table'!$A$4:$I$21,7,FALSE),"")</f>
        <v>Summit</v>
      </c>
      <c r="E91" s="17" t="str">
        <f>IFERROR(VLOOKUP(Results!$A91,'Columns B to F vlookup table'!$A$4:$I$21,8,FALSE),"")</f>
        <v xml:space="preserve"> 68°39'5.43"N</v>
      </c>
      <c r="F91" s="17" t="str">
        <f>IFERROR(VLOOKUP(Results!$A91,'Columns B to F vlookup table'!$A$4:$I$21,9,FALSE),"")</f>
        <v xml:space="preserve"> 71°14'3.23"W</v>
      </c>
      <c r="G91" s="16">
        <v>1610963</v>
      </c>
      <c r="H91" s="16">
        <v>1610962</v>
      </c>
      <c r="I91" s="16">
        <v>172478</v>
      </c>
      <c r="J91" s="18">
        <v>42543</v>
      </c>
      <c r="K91" s="18">
        <v>42556</v>
      </c>
      <c r="L91" s="18">
        <v>42556</v>
      </c>
      <c r="M91" s="16">
        <v>6.75</v>
      </c>
      <c r="N91" s="16" t="s">
        <v>13</v>
      </c>
      <c r="O91" s="16" t="s">
        <v>12</v>
      </c>
      <c r="P91" s="16">
        <v>0.3</v>
      </c>
      <c r="Q91" s="16">
        <v>2</v>
      </c>
      <c r="R91" s="16">
        <v>0.7</v>
      </c>
      <c r="S91" s="16">
        <v>3</v>
      </c>
      <c r="T91" s="16" t="s">
        <v>8</v>
      </c>
      <c r="U91" s="16" t="s">
        <v>6</v>
      </c>
      <c r="V91" s="16" t="s">
        <v>9</v>
      </c>
      <c r="W91" s="16" t="s">
        <v>6</v>
      </c>
      <c r="X91" s="16" t="s">
        <v>8</v>
      </c>
      <c r="Y91" s="16">
        <f>0.1*1000</f>
        <v>100</v>
      </c>
      <c r="Z91" s="16" t="s">
        <v>16</v>
      </c>
      <c r="AA91" s="16" t="s">
        <v>16</v>
      </c>
      <c r="AB91" s="16" t="s">
        <v>16</v>
      </c>
      <c r="AC91" s="2">
        <f t="shared" si="0"/>
        <v>13</v>
      </c>
    </row>
    <row r="92" spans="1:29" x14ac:dyDescent="0.25">
      <c r="A92" s="16" t="s">
        <v>65</v>
      </c>
      <c r="B92" s="17" t="str">
        <f>IFERROR(VLOOKUP(Results!$A92,'Columns B to F vlookup table'!$A$4:$I$21,3,FALSE),"")</f>
        <v>FOX-3</v>
      </c>
      <c r="C92" s="17" t="s">
        <v>25</v>
      </c>
      <c r="D92" s="17" t="str">
        <f>IFERROR(VLOOKUP(Results!$A92,'Columns B to F vlookup table'!$A$4:$I$21,7,FALSE),"")</f>
        <v>Airstrip</v>
      </c>
      <c r="E92" s="17" t="str">
        <f>IFERROR(VLOOKUP(Results!$A92,'Columns B to F vlookup table'!$A$4:$I$21,8,FALSE),"")</f>
        <v xml:space="preserve"> 68°37'24.90"N</v>
      </c>
      <c r="F92" s="17" t="str">
        <f>IFERROR(VLOOKUP(Results!$A92,'Columns B to F vlookup table'!$A$4:$I$21,9,FALSE),"")</f>
        <v xml:space="preserve"> 71° 8'5.62"W</v>
      </c>
      <c r="G92" s="16">
        <v>1611284</v>
      </c>
      <c r="H92" s="16">
        <v>1611276</v>
      </c>
      <c r="I92" s="16">
        <v>172480</v>
      </c>
      <c r="J92" s="18">
        <v>42545</v>
      </c>
      <c r="K92" s="18">
        <v>42558</v>
      </c>
      <c r="L92" s="18">
        <v>42559</v>
      </c>
      <c r="M92" s="16">
        <v>7.61</v>
      </c>
      <c r="N92" s="16" t="s">
        <v>82</v>
      </c>
      <c r="O92" s="16" t="s">
        <v>12</v>
      </c>
      <c r="P92" s="16" t="s">
        <v>6</v>
      </c>
      <c r="Q92" s="16" t="s">
        <v>8</v>
      </c>
      <c r="R92" s="16">
        <v>1.1000000000000001</v>
      </c>
      <c r="S92" s="16">
        <v>1</v>
      </c>
      <c r="T92" s="16" t="s">
        <v>8</v>
      </c>
      <c r="U92" s="16" t="s">
        <v>6</v>
      </c>
      <c r="V92" s="16" t="s">
        <v>9</v>
      </c>
      <c r="W92" s="16" t="s">
        <v>6</v>
      </c>
      <c r="X92" s="16" t="s">
        <v>8</v>
      </c>
      <c r="Y92" s="16">
        <f>0.09*1000</f>
        <v>90</v>
      </c>
      <c r="Z92" s="16" t="s">
        <v>16</v>
      </c>
      <c r="AA92" s="16" t="s">
        <v>16</v>
      </c>
      <c r="AB92" s="16" t="s">
        <v>16</v>
      </c>
      <c r="AC92" s="2">
        <f t="shared" si="0"/>
        <v>14</v>
      </c>
    </row>
    <row r="93" spans="1:29" x14ac:dyDescent="0.25">
      <c r="A93" s="16" t="s">
        <v>59</v>
      </c>
      <c r="B93" s="17" t="str">
        <f>IFERROR(VLOOKUP(Results!$A93,'Columns B to F vlookup table'!$A$4:$I$21,3,FALSE),"")</f>
        <v>FOX-M</v>
      </c>
      <c r="C93" s="17" t="s">
        <v>26</v>
      </c>
      <c r="D93" s="17" t="str">
        <f>IFERROR(VLOOKUP(Results!$A93,'Columns B to F vlookup table'!$A$4:$I$21,7,FALSE),"")</f>
        <v>Beach</v>
      </c>
      <c r="E93" s="17" t="str">
        <f>IFERROR(VLOOKUP(Results!$A93,'Columns B to F vlookup table'!$A$4:$I$21,8,FALSE),"")</f>
        <v xml:space="preserve"> 68°46'23.93"N</v>
      </c>
      <c r="F93" s="17" t="str">
        <f>IFERROR(VLOOKUP(Results!$A93,'Columns B to F vlookup table'!$A$4:$I$21,9,FALSE),"")</f>
        <v xml:space="preserve"> 81°12'51.11"W</v>
      </c>
      <c r="G93" s="16">
        <v>1611287</v>
      </c>
      <c r="H93" s="16">
        <v>1611281</v>
      </c>
      <c r="I93" s="16">
        <v>169311</v>
      </c>
      <c r="J93" s="18">
        <v>42549</v>
      </c>
      <c r="K93" s="18">
        <v>42558</v>
      </c>
      <c r="L93" s="18">
        <v>42559</v>
      </c>
      <c r="M93" s="16">
        <v>7.69</v>
      </c>
      <c r="N93" s="16" t="s">
        <v>82</v>
      </c>
      <c r="O93" s="16" t="s">
        <v>12</v>
      </c>
      <c r="P93" s="16">
        <v>0.1</v>
      </c>
      <c r="Q93" s="16" t="s">
        <v>8</v>
      </c>
      <c r="R93" s="16">
        <v>0.3</v>
      </c>
      <c r="S93" s="16">
        <v>1</v>
      </c>
      <c r="T93" s="16" t="s">
        <v>8</v>
      </c>
      <c r="U93" s="16" t="s">
        <v>6</v>
      </c>
      <c r="V93" s="16" t="s">
        <v>9</v>
      </c>
      <c r="W93" s="16" t="s">
        <v>6</v>
      </c>
      <c r="X93" s="16" t="s">
        <v>8</v>
      </c>
      <c r="Y93" s="16" t="s">
        <v>15</v>
      </c>
      <c r="Z93" s="16" t="s">
        <v>16</v>
      </c>
      <c r="AA93" s="16" t="s">
        <v>16</v>
      </c>
      <c r="AB93" s="16" t="s">
        <v>16</v>
      </c>
      <c r="AC93" s="2">
        <f t="shared" si="0"/>
        <v>10</v>
      </c>
    </row>
    <row r="94" spans="1:29" x14ac:dyDescent="0.25">
      <c r="A94" s="16" t="s">
        <v>60</v>
      </c>
      <c r="B94" s="17" t="str">
        <f>IFERROR(VLOOKUP(Results!$A94,'Columns B to F vlookup table'!$A$4:$I$21,3,FALSE),"")</f>
        <v>FOX-M</v>
      </c>
      <c r="C94" s="17" t="s">
        <v>26</v>
      </c>
      <c r="D94" s="17" t="str">
        <f>IFERROR(VLOOKUP(Results!$A94,'Columns B to F vlookup table'!$A$4:$I$21,7,FALSE),"")</f>
        <v>Airstrip</v>
      </c>
      <c r="E94" s="17" t="str">
        <f>IFERROR(VLOOKUP(Results!$A94,'Columns B to F vlookup table'!$A$4:$I$21,8,FALSE),"")</f>
        <v xml:space="preserve"> 68°46'15.85"N</v>
      </c>
      <c r="F94" s="17" t="str">
        <f>IFERROR(VLOOKUP(Results!$A94,'Columns B to F vlookup table'!$A$4:$I$21,9,FALSE),"")</f>
        <v xml:space="preserve"> 81°13'58.33"W</v>
      </c>
      <c r="G94" s="16">
        <v>1611283</v>
      </c>
      <c r="H94" s="16">
        <v>1611273</v>
      </c>
      <c r="I94" s="16">
        <v>172482</v>
      </c>
      <c r="J94" s="18">
        <v>42549</v>
      </c>
      <c r="K94" s="18">
        <v>42558</v>
      </c>
      <c r="L94" s="18">
        <v>42559</v>
      </c>
      <c r="M94" s="16">
        <v>7.73</v>
      </c>
      <c r="N94" s="16" t="s">
        <v>82</v>
      </c>
      <c r="O94" s="16" t="s">
        <v>12</v>
      </c>
      <c r="P94" s="16" t="s">
        <v>6</v>
      </c>
      <c r="Q94" s="16" t="s">
        <v>8</v>
      </c>
      <c r="R94" s="16" t="s">
        <v>7</v>
      </c>
      <c r="S94" s="16">
        <v>1</v>
      </c>
      <c r="T94" s="16" t="s">
        <v>8</v>
      </c>
      <c r="U94" s="16" t="s">
        <v>6</v>
      </c>
      <c r="V94" s="16" t="s">
        <v>9</v>
      </c>
      <c r="W94" s="16" t="s">
        <v>6</v>
      </c>
      <c r="X94" s="16" t="s">
        <v>8</v>
      </c>
      <c r="Y94" s="16">
        <f>0.08*1000</f>
        <v>80</v>
      </c>
      <c r="Z94" s="16" t="s">
        <v>16</v>
      </c>
      <c r="AA94" s="16" t="s">
        <v>16</v>
      </c>
      <c r="AB94" s="16" t="s">
        <v>16</v>
      </c>
      <c r="AC94" s="2">
        <f t="shared" si="0"/>
        <v>10</v>
      </c>
    </row>
    <row r="95" spans="1:29" x14ac:dyDescent="0.25">
      <c r="A95" s="16" t="s">
        <v>58</v>
      </c>
      <c r="B95" s="17" t="str">
        <f>IFERROR(VLOOKUP(Results!$A95,'Columns B to F vlookup table'!$A$4:$I$21,3,FALSE),"")</f>
        <v>FOX-M</v>
      </c>
      <c r="C95" s="17" t="s">
        <v>26</v>
      </c>
      <c r="D95" s="17" t="str">
        <f>IFERROR(VLOOKUP(Results!$A95,'Columns B to F vlookup table'!$A$4:$I$21,7,FALSE),"")</f>
        <v>Beach</v>
      </c>
      <c r="E95" s="17" t="str">
        <f>IFERROR(VLOOKUP(Results!$A95,'Columns B to F vlookup table'!$A$4:$I$21,8,FALSE),"")</f>
        <v xml:space="preserve"> 68°46'23.75"N</v>
      </c>
      <c r="F95" s="17" t="str">
        <f>IFERROR(VLOOKUP(Results!$A95,'Columns B to F vlookup table'!$A$4:$I$21,9,FALSE),"")</f>
        <v xml:space="preserve"> 81°12'46.12"W</v>
      </c>
      <c r="G95" s="16">
        <v>1611286</v>
      </c>
      <c r="H95" s="16">
        <v>1611280</v>
      </c>
      <c r="I95" s="16">
        <v>169320</v>
      </c>
      <c r="J95" s="18">
        <v>42549</v>
      </c>
      <c r="K95" s="18">
        <v>42558</v>
      </c>
      <c r="L95" s="18">
        <v>42559</v>
      </c>
      <c r="M95" s="16">
        <v>7.79</v>
      </c>
      <c r="N95" s="16" t="s">
        <v>82</v>
      </c>
      <c r="O95" s="16" t="s">
        <v>12</v>
      </c>
      <c r="P95" s="16" t="s">
        <v>6</v>
      </c>
      <c r="Q95" s="16" t="s">
        <v>8</v>
      </c>
      <c r="R95" s="16">
        <v>0.4</v>
      </c>
      <c r="S95" s="16">
        <v>2</v>
      </c>
      <c r="T95" s="16" t="s">
        <v>8</v>
      </c>
      <c r="U95" s="16" t="s">
        <v>6</v>
      </c>
      <c r="V95" s="16" t="s">
        <v>9</v>
      </c>
      <c r="W95" s="16" t="s">
        <v>6</v>
      </c>
      <c r="X95" s="16" t="s">
        <v>8</v>
      </c>
      <c r="Y95" s="16" t="s">
        <v>15</v>
      </c>
      <c r="Z95" s="16" t="s">
        <v>16</v>
      </c>
      <c r="AA95" s="16" t="s">
        <v>16</v>
      </c>
      <c r="AB95" s="16" t="s">
        <v>16</v>
      </c>
      <c r="AC95" s="2">
        <f t="shared" si="0"/>
        <v>10</v>
      </c>
    </row>
    <row r="96" spans="1:29" x14ac:dyDescent="0.25">
      <c r="A96" s="16" t="s">
        <v>61</v>
      </c>
      <c r="B96" s="17" t="str">
        <f>IFERROR(VLOOKUP(Results!$A96,'Columns B to F vlookup table'!$A$4:$I$21,3,FALSE),"")</f>
        <v>FOX-M</v>
      </c>
      <c r="C96" s="17" t="s">
        <v>26</v>
      </c>
      <c r="D96" s="17" t="str">
        <f>IFERROR(VLOOKUP(Results!$A96,'Columns B to F vlookup table'!$A$4:$I$21,7,FALSE),"")</f>
        <v>Summit</v>
      </c>
      <c r="E96" s="17" t="str">
        <f>IFERROR(VLOOKUP(Results!$A96,'Columns B to F vlookup table'!$A$4:$I$21,8,FALSE),"")</f>
        <v xml:space="preserve"> 68°45'43.00"N</v>
      </c>
      <c r="F96" s="17" t="str">
        <f>IFERROR(VLOOKUP(Results!$A96,'Columns B to F vlookup table'!$A$4:$I$21,9,FALSE),"")</f>
        <v xml:space="preserve"> 81°13'27.27"W</v>
      </c>
      <c r="G96" s="16">
        <v>1611285</v>
      </c>
      <c r="H96" s="16">
        <v>1611278</v>
      </c>
      <c r="I96" s="16">
        <v>169316</v>
      </c>
      <c r="J96" s="18">
        <v>42549</v>
      </c>
      <c r="K96" s="18">
        <v>42558</v>
      </c>
      <c r="L96" s="18">
        <v>42559</v>
      </c>
      <c r="M96" s="22">
        <v>7.83</v>
      </c>
      <c r="N96" s="16" t="s">
        <v>82</v>
      </c>
      <c r="O96" s="16" t="s">
        <v>12</v>
      </c>
      <c r="P96" s="16" t="s">
        <v>6</v>
      </c>
      <c r="Q96" s="16" t="s">
        <v>8</v>
      </c>
      <c r="R96" s="16" t="s">
        <v>7</v>
      </c>
      <c r="S96" s="16">
        <v>2</v>
      </c>
      <c r="T96" s="16" t="s">
        <v>8</v>
      </c>
      <c r="U96" s="16" t="s">
        <v>6</v>
      </c>
      <c r="V96" s="16" t="s">
        <v>9</v>
      </c>
      <c r="W96" s="16" t="s">
        <v>6</v>
      </c>
      <c r="X96" s="16" t="s">
        <v>8</v>
      </c>
      <c r="Y96" s="16" t="s">
        <v>15</v>
      </c>
      <c r="Z96" s="16" t="s">
        <v>16</v>
      </c>
      <c r="AA96" s="16" t="s">
        <v>16</v>
      </c>
      <c r="AB96" s="16" t="s">
        <v>16</v>
      </c>
      <c r="AC96" s="2">
        <f t="shared" si="0"/>
        <v>10</v>
      </c>
    </row>
    <row r="97" spans="1:30" x14ac:dyDescent="0.25">
      <c r="A97" s="16" t="s">
        <v>67</v>
      </c>
      <c r="B97" s="17" t="str">
        <f>IFERROR(VLOOKUP(Results!$A97,'Columns B to F vlookup table'!$A$4:$I$21,3,FALSE),"")</f>
        <v>DYE-M</v>
      </c>
      <c r="C97" s="17" t="s">
        <v>27</v>
      </c>
      <c r="D97" s="17" t="str">
        <f>IFERROR(VLOOKUP(Results!$A97,'Columns B to F vlookup table'!$A$4:$I$21,7,FALSE),"")</f>
        <v>Summit</v>
      </c>
      <c r="E97" s="17" t="str">
        <f>IFERROR(VLOOKUP(Results!$A97,'Columns B to F vlookup table'!$A$4:$I$21,8,FALSE),"")</f>
        <v xml:space="preserve"> 66°40'0.13"N</v>
      </c>
      <c r="F97" s="17" t="str">
        <f>IFERROR(VLOOKUP(Results!$A97,'Columns B to F vlookup table'!$A$4:$I$21,9,FALSE),"")</f>
        <v xml:space="preserve"> 61°21'25.76"W</v>
      </c>
      <c r="G97" s="16">
        <v>1616190</v>
      </c>
      <c r="H97" s="16">
        <v>1616189</v>
      </c>
      <c r="I97" s="16">
        <v>183369</v>
      </c>
      <c r="J97" s="18">
        <v>42615</v>
      </c>
      <c r="K97" s="18">
        <v>42633</v>
      </c>
      <c r="L97" s="18">
        <v>42634</v>
      </c>
      <c r="M97" s="22">
        <v>7</v>
      </c>
      <c r="N97" s="22" t="s">
        <v>13</v>
      </c>
      <c r="O97" s="22" t="s">
        <v>12</v>
      </c>
      <c r="P97" s="22" t="s">
        <v>6</v>
      </c>
      <c r="Q97" s="22" t="s">
        <v>8</v>
      </c>
      <c r="R97" s="22" t="s">
        <v>7</v>
      </c>
      <c r="S97" s="22">
        <v>1</v>
      </c>
      <c r="T97" s="22" t="s">
        <v>8</v>
      </c>
      <c r="U97" s="22" t="s">
        <v>6</v>
      </c>
      <c r="V97" s="16" t="s">
        <v>9</v>
      </c>
      <c r="W97" s="22" t="s">
        <v>6</v>
      </c>
      <c r="X97" s="22" t="s">
        <v>8</v>
      </c>
      <c r="Y97" s="22" t="s">
        <v>15</v>
      </c>
      <c r="Z97" s="16" t="s">
        <v>16</v>
      </c>
      <c r="AA97" s="16" t="s">
        <v>16</v>
      </c>
      <c r="AB97" s="16" t="s">
        <v>16</v>
      </c>
      <c r="AC97" s="2">
        <f t="shared" si="0"/>
        <v>19</v>
      </c>
    </row>
    <row r="98" spans="1:30" x14ac:dyDescent="0.25">
      <c r="A98" s="16" t="s">
        <v>74</v>
      </c>
      <c r="B98" s="17" t="str">
        <f>IFERROR(VLOOKUP(Results!$A98,'Columns B to F vlookup table'!$A$4:$I$21,3,FALSE),"")</f>
        <v>CAM-M</v>
      </c>
      <c r="C98" s="17" t="s">
        <v>23</v>
      </c>
      <c r="D98" s="17" t="str">
        <f>IFERROR(VLOOKUP(Results!$A98,'Columns B to F vlookup table'!$A$4:$I$21,7,FALSE),"")</f>
        <v>Beach</v>
      </c>
      <c r="E98" s="17" t="str">
        <f>IFERROR(VLOOKUP(Results!$A98,'Columns B to F vlookup table'!$A$4:$I$21,8,FALSE),"")</f>
        <v xml:space="preserve"> 69° 6'11.41"N</v>
      </c>
      <c r="F98" s="17" t="str">
        <f>IFERROR(VLOOKUP(Results!$A98,'Columns B to F vlookup table'!$A$4:$I$21,9,FALSE),"")</f>
        <v>105° 5'50.26"W</v>
      </c>
      <c r="G98" s="16">
        <v>1708340</v>
      </c>
      <c r="H98" s="16">
        <v>1708342</v>
      </c>
      <c r="I98" s="16">
        <v>170381</v>
      </c>
      <c r="J98" s="18">
        <v>42878</v>
      </c>
      <c r="K98" s="18">
        <v>42893</v>
      </c>
      <c r="L98" s="18">
        <v>42893</v>
      </c>
      <c r="M98" s="16">
        <v>7.62</v>
      </c>
      <c r="N98" s="16" t="s">
        <v>13</v>
      </c>
      <c r="O98" s="16" t="s">
        <v>12</v>
      </c>
      <c r="P98" s="16" t="s">
        <v>6</v>
      </c>
      <c r="Q98" s="16">
        <v>2</v>
      </c>
      <c r="R98" s="16">
        <v>0.4</v>
      </c>
      <c r="S98" s="16">
        <f>0.01*1000</f>
        <v>10</v>
      </c>
      <c r="T98" s="16" t="s">
        <v>8</v>
      </c>
      <c r="U98" s="16" t="s">
        <v>6</v>
      </c>
      <c r="V98" s="16" t="s">
        <v>9</v>
      </c>
      <c r="W98" s="16" t="s">
        <v>6</v>
      </c>
      <c r="X98" s="16">
        <v>8</v>
      </c>
      <c r="Y98" s="16" t="s">
        <v>15</v>
      </c>
      <c r="Z98" s="16" t="s">
        <v>16</v>
      </c>
      <c r="AA98" s="16" t="s">
        <v>16</v>
      </c>
      <c r="AB98" s="16" t="s">
        <v>16</v>
      </c>
      <c r="AC98" s="2">
        <f t="shared" si="0"/>
        <v>15</v>
      </c>
    </row>
    <row r="99" spans="1:30" x14ac:dyDescent="0.25">
      <c r="A99" s="16" t="s">
        <v>70</v>
      </c>
      <c r="B99" s="17" t="str">
        <f>IFERROR(VLOOKUP(Results!$A99,'Columns B to F vlookup table'!$A$4:$I$21,3,FALSE),"")</f>
        <v>CAM-M</v>
      </c>
      <c r="C99" s="17" t="s">
        <v>23</v>
      </c>
      <c r="D99" s="17" t="str">
        <f>IFERROR(VLOOKUP(Results!$A99,'Columns B to F vlookup table'!$A$4:$I$21,7,FALSE),"")</f>
        <v>Summit</v>
      </c>
      <c r="E99" s="17" t="str">
        <f>IFERROR(VLOOKUP(Results!$A99,'Columns B to F vlookup table'!$A$4:$I$21,8,FALSE),"")</f>
        <v xml:space="preserve"> 69° 7'2.76"N</v>
      </c>
      <c r="F99" s="17" t="str">
        <f>IFERROR(VLOOKUP(Results!$A99,'Columns B to F vlookup table'!$A$4:$I$21,9,FALSE),"")</f>
        <v>105° 7'2.69"W</v>
      </c>
      <c r="G99" s="16">
        <v>1708345</v>
      </c>
      <c r="H99" s="16">
        <v>1708344</v>
      </c>
      <c r="I99" s="16">
        <v>176792</v>
      </c>
      <c r="J99" s="18">
        <v>42878</v>
      </c>
      <c r="K99" s="18">
        <v>42893</v>
      </c>
      <c r="L99" s="18">
        <v>42893</v>
      </c>
      <c r="M99" s="16">
        <v>7.73</v>
      </c>
      <c r="N99" s="16" t="s">
        <v>13</v>
      </c>
      <c r="O99" s="16" t="s">
        <v>12</v>
      </c>
      <c r="P99" s="16">
        <v>0.2</v>
      </c>
      <c r="Q99" s="16" t="s">
        <v>8</v>
      </c>
      <c r="R99" s="16">
        <v>0.5</v>
      </c>
      <c r="S99" s="16">
        <f>0.015*1000</f>
        <v>15</v>
      </c>
      <c r="T99" s="16" t="s">
        <v>8</v>
      </c>
      <c r="U99" s="16" t="s">
        <v>6</v>
      </c>
      <c r="V99" s="16" t="s">
        <v>9</v>
      </c>
      <c r="W99" s="16" t="s">
        <v>6</v>
      </c>
      <c r="X99" s="16">
        <v>3</v>
      </c>
      <c r="Y99" s="16">
        <v>60</v>
      </c>
      <c r="Z99" s="16" t="s">
        <v>16</v>
      </c>
      <c r="AA99" s="16" t="s">
        <v>16</v>
      </c>
      <c r="AB99" s="16" t="s">
        <v>16</v>
      </c>
      <c r="AC99" s="2">
        <f t="shared" si="0"/>
        <v>15</v>
      </c>
    </row>
    <row r="100" spans="1:30" x14ac:dyDescent="0.25">
      <c r="A100" s="16" t="s">
        <v>56</v>
      </c>
      <c r="B100" s="17" t="str">
        <f>IFERROR(VLOOKUP(Results!$A100,'Columns B to F vlookup table'!$A$4:$I$21,3,FALSE),"")</f>
        <v>CAM-3</v>
      </c>
      <c r="C100" s="17" t="s">
        <v>22</v>
      </c>
      <c r="D100" s="17" t="str">
        <f>IFERROR(VLOOKUP(Results!$A100,'Columns B to F vlookup table'!$A$4:$I$21,7,FALSE),"")</f>
        <v>Summit</v>
      </c>
      <c r="E100" s="17" t="str">
        <f>IFERROR(VLOOKUP(Results!$A100,'Columns B to F vlookup table'!$A$4:$I$21,8,FALSE),"")</f>
        <v xml:space="preserve"> 68°47'42.00"N</v>
      </c>
      <c r="F100" s="17" t="str">
        <f>IFERROR(VLOOKUP(Results!$A100,'Columns B to F vlookup table'!$A$4:$I$21,9,FALSE),"")</f>
        <v xml:space="preserve"> 93°26'19.58"W</v>
      </c>
      <c r="G100" s="16">
        <v>1709754</v>
      </c>
      <c r="H100" s="16">
        <v>1709752</v>
      </c>
      <c r="I100" s="16">
        <v>176796</v>
      </c>
      <c r="J100" s="18">
        <v>42898</v>
      </c>
      <c r="K100" s="18">
        <v>42909</v>
      </c>
      <c r="L100" s="18">
        <v>42909</v>
      </c>
      <c r="M100" s="16">
        <v>7.94</v>
      </c>
      <c r="N100" s="16" t="s">
        <v>13</v>
      </c>
      <c r="O100" s="16" t="s">
        <v>12</v>
      </c>
      <c r="P100" s="16" t="s">
        <v>6</v>
      </c>
      <c r="Q100" s="16">
        <v>2</v>
      </c>
      <c r="R100" s="16" t="s">
        <v>7</v>
      </c>
      <c r="S100" s="16">
        <f>0.016*1000</f>
        <v>16</v>
      </c>
      <c r="T100" s="16" t="s">
        <v>8</v>
      </c>
      <c r="U100" s="16" t="s">
        <v>6</v>
      </c>
      <c r="V100" s="16" t="s">
        <v>9</v>
      </c>
      <c r="W100" s="16" t="s">
        <v>6</v>
      </c>
      <c r="X100" s="16">
        <v>1</v>
      </c>
      <c r="Y100" s="16" t="s">
        <v>15</v>
      </c>
      <c r="Z100" s="16" t="s">
        <v>16</v>
      </c>
      <c r="AA100" s="16" t="s">
        <v>16</v>
      </c>
      <c r="AB100" s="16" t="s">
        <v>16</v>
      </c>
      <c r="AC100" s="2">
        <f t="shared" si="0"/>
        <v>11</v>
      </c>
    </row>
    <row r="101" spans="1:30" x14ac:dyDescent="0.25">
      <c r="A101" s="16" t="s">
        <v>57</v>
      </c>
      <c r="B101" s="17" t="str">
        <f>IFERROR(VLOOKUP(Results!$A101,'Columns B to F vlookup table'!$A$4:$I$21,3,FALSE),"")</f>
        <v>CAM-3</v>
      </c>
      <c r="C101" s="17" t="s">
        <v>22</v>
      </c>
      <c r="D101" s="17" t="str">
        <f>IFERROR(VLOOKUP(Results!$A101,'Columns B to F vlookup table'!$A$4:$I$21,7,FALSE),"")</f>
        <v>Beach</v>
      </c>
      <c r="E101" s="17" t="str">
        <f>IFERROR(VLOOKUP(Results!$A101,'Columns B to F vlookup table'!$A$4:$I$21,8,FALSE),"")</f>
        <v xml:space="preserve"> 68°48'7.82"N</v>
      </c>
      <c r="F101" s="17" t="str">
        <f>IFERROR(VLOOKUP(Results!$A101,'Columns B to F vlookup table'!$A$4:$I$21,9,FALSE),"")</f>
        <v xml:space="preserve"> 93°36'50.12"W</v>
      </c>
      <c r="G101" s="16">
        <v>1709753</v>
      </c>
      <c r="H101" s="16">
        <v>1709751</v>
      </c>
      <c r="I101" s="16">
        <v>170391</v>
      </c>
      <c r="J101" s="18">
        <v>42898</v>
      </c>
      <c r="K101" s="18">
        <v>42909</v>
      </c>
      <c r="L101" s="18">
        <v>42909</v>
      </c>
      <c r="M101" s="16">
        <v>7.59</v>
      </c>
      <c r="N101" s="16" t="s">
        <v>13</v>
      </c>
      <c r="O101" s="16" t="s">
        <v>12</v>
      </c>
      <c r="P101" s="16" t="s">
        <v>6</v>
      </c>
      <c r="Q101" s="16" t="s">
        <v>8</v>
      </c>
      <c r="R101" s="16" t="s">
        <v>7</v>
      </c>
      <c r="S101" s="16">
        <v>3</v>
      </c>
      <c r="T101" s="16" t="s">
        <v>8</v>
      </c>
      <c r="U101" s="16" t="s">
        <v>6</v>
      </c>
      <c r="V101" s="16" t="s">
        <v>9</v>
      </c>
      <c r="W101" s="16" t="s">
        <v>6</v>
      </c>
      <c r="X101" s="16" t="s">
        <v>8</v>
      </c>
      <c r="Y101" s="16" t="s">
        <v>15</v>
      </c>
      <c r="Z101" s="16" t="s">
        <v>16</v>
      </c>
      <c r="AA101" s="16" t="s">
        <v>16</v>
      </c>
      <c r="AB101" s="16" t="s">
        <v>16</v>
      </c>
      <c r="AC101" s="2">
        <f t="shared" si="0"/>
        <v>11</v>
      </c>
    </row>
    <row r="102" spans="1:30" x14ac:dyDescent="0.25">
      <c r="A102" s="16" t="s">
        <v>64</v>
      </c>
      <c r="B102" s="17" t="str">
        <f>IFERROR(VLOOKUP(Results!$A102,'Columns B to F vlookup table'!$A$4:$I$21,3,FALSE),"")</f>
        <v>FOX-3</v>
      </c>
      <c r="C102" s="17" t="s">
        <v>25</v>
      </c>
      <c r="D102" s="17" t="str">
        <f>IFERROR(VLOOKUP(Results!$A102,'Columns B to F vlookup table'!$A$4:$I$21,7,FALSE),"")</f>
        <v>Summit</v>
      </c>
      <c r="E102" s="17" t="str">
        <f>IFERROR(VLOOKUP(Results!$A102,'Columns B to F vlookup table'!$A$4:$I$21,8,FALSE),"")</f>
        <v xml:space="preserve"> 68°39'5.43"N</v>
      </c>
      <c r="F102" s="17" t="str">
        <f>IFERROR(VLOOKUP(Results!$A102,'Columns B to F vlookup table'!$A$4:$I$21,9,FALSE),"")</f>
        <v xml:space="preserve"> 71°14'3.23"W</v>
      </c>
      <c r="G102" s="16">
        <v>1712348</v>
      </c>
      <c r="H102" s="16">
        <v>1712346</v>
      </c>
      <c r="I102" s="16">
        <v>191381</v>
      </c>
      <c r="J102" s="18">
        <v>42916</v>
      </c>
      <c r="K102" s="18">
        <v>42930</v>
      </c>
      <c r="L102" s="18">
        <v>42930</v>
      </c>
      <c r="M102" s="16">
        <v>6.08</v>
      </c>
      <c r="N102" s="16">
        <v>1000</v>
      </c>
      <c r="O102" s="16" t="s">
        <v>12</v>
      </c>
      <c r="P102" s="16" t="s">
        <v>6</v>
      </c>
      <c r="Q102" s="16" t="s">
        <v>8</v>
      </c>
      <c r="R102" s="16">
        <v>0.9</v>
      </c>
      <c r="S102" s="16">
        <v>1</v>
      </c>
      <c r="T102" s="16" t="s">
        <v>8</v>
      </c>
      <c r="U102" s="16" t="s">
        <v>6</v>
      </c>
      <c r="V102" s="16" t="s">
        <v>9</v>
      </c>
      <c r="W102" s="16" t="s">
        <v>6</v>
      </c>
      <c r="X102" s="16" t="s">
        <v>8</v>
      </c>
      <c r="Y102" s="16">
        <v>100</v>
      </c>
      <c r="Z102" s="16" t="s">
        <v>16</v>
      </c>
      <c r="AA102" s="16" t="s">
        <v>16</v>
      </c>
      <c r="AB102" s="16" t="s">
        <v>16</v>
      </c>
      <c r="AC102" s="2">
        <f t="shared" si="0"/>
        <v>14</v>
      </c>
    </row>
    <row r="103" spans="1:30" x14ac:dyDescent="0.25">
      <c r="A103" s="16" t="s">
        <v>63</v>
      </c>
      <c r="B103" s="17" t="str">
        <f>IFERROR(VLOOKUP(Results!$A103,'Columns B to F vlookup table'!$A$4:$I$21,3,FALSE),"")</f>
        <v>FOX-3</v>
      </c>
      <c r="C103" s="17" t="s">
        <v>25</v>
      </c>
      <c r="D103" s="17" t="str">
        <f>IFERROR(VLOOKUP(Results!$A103,'Columns B to F vlookup table'!$A$4:$I$21,7,FALSE),"")</f>
        <v>Summit</v>
      </c>
      <c r="E103" s="17" t="str">
        <f>IFERROR(VLOOKUP(Results!$A103,'Columns B to F vlookup table'!$A$4:$I$21,8,FALSE),"")</f>
        <v xml:space="preserve"> 68°39'3.67"N</v>
      </c>
      <c r="F103" s="17" t="str">
        <f>IFERROR(VLOOKUP(Results!$A103,'Columns B to F vlookup table'!$A$4:$I$21,9,FALSE),"")</f>
        <v xml:space="preserve"> 71°13'49.97"W</v>
      </c>
      <c r="G103" s="16">
        <v>1712354</v>
      </c>
      <c r="H103" s="16">
        <v>1712352</v>
      </c>
      <c r="I103" s="16">
        <v>191384</v>
      </c>
      <c r="J103" s="18">
        <v>42916</v>
      </c>
      <c r="K103" s="18">
        <v>42930</v>
      </c>
      <c r="L103" s="18">
        <v>42930</v>
      </c>
      <c r="M103" s="16">
        <v>6.55</v>
      </c>
      <c r="N103" s="16">
        <v>2000</v>
      </c>
      <c r="O103" s="16" t="s">
        <v>12</v>
      </c>
      <c r="P103" s="16">
        <v>0.5</v>
      </c>
      <c r="Q103" s="16" t="s">
        <v>8</v>
      </c>
      <c r="R103" s="16">
        <v>1.5</v>
      </c>
      <c r="S103" s="16">
        <v>3</v>
      </c>
      <c r="T103" s="16" t="s">
        <v>8</v>
      </c>
      <c r="U103" s="16" t="s">
        <v>6</v>
      </c>
      <c r="V103" s="16">
        <v>7</v>
      </c>
      <c r="W103" s="16" t="s">
        <v>6</v>
      </c>
      <c r="X103" s="16" t="s">
        <v>8</v>
      </c>
      <c r="Y103" s="16">
        <f>0.05*1000</f>
        <v>50</v>
      </c>
      <c r="Z103" s="16" t="s">
        <v>16</v>
      </c>
      <c r="AA103" s="16" t="s">
        <v>16</v>
      </c>
      <c r="AB103" s="16" t="s">
        <v>16</v>
      </c>
      <c r="AC103" s="2">
        <f t="shared" si="0"/>
        <v>14</v>
      </c>
    </row>
    <row r="104" spans="1:30" x14ac:dyDescent="0.25">
      <c r="A104" s="16" t="s">
        <v>65</v>
      </c>
      <c r="B104" s="17" t="str">
        <f>IFERROR(VLOOKUP(Results!$A104,'Columns B to F vlookup table'!$A$4:$I$21,3,FALSE),"")</f>
        <v>FOX-3</v>
      </c>
      <c r="C104" s="17" t="s">
        <v>25</v>
      </c>
      <c r="D104" s="17" t="str">
        <f>IFERROR(VLOOKUP(Results!$A104,'Columns B to F vlookup table'!$A$4:$I$21,7,FALSE),"")</f>
        <v>Airstrip</v>
      </c>
      <c r="E104" s="17" t="str">
        <f>IFERROR(VLOOKUP(Results!$A104,'Columns B to F vlookup table'!$A$4:$I$21,8,FALSE),"")</f>
        <v xml:space="preserve"> 68°37'24.90"N</v>
      </c>
      <c r="F104" s="17" t="str">
        <f>IFERROR(VLOOKUP(Results!$A104,'Columns B to F vlookup table'!$A$4:$I$21,9,FALSE),"")</f>
        <v xml:space="preserve"> 71° 8'5.62"W</v>
      </c>
      <c r="G104" s="16">
        <v>1712349</v>
      </c>
      <c r="H104" s="16">
        <v>1712351</v>
      </c>
      <c r="I104" s="16">
        <v>191382</v>
      </c>
      <c r="J104" s="18">
        <v>42916</v>
      </c>
      <c r="K104" s="18">
        <v>42930</v>
      </c>
      <c r="L104" s="18">
        <v>42930</v>
      </c>
      <c r="M104" s="16">
        <v>6.99</v>
      </c>
      <c r="N104" s="16" t="s">
        <v>13</v>
      </c>
      <c r="O104" s="16" t="s">
        <v>12</v>
      </c>
      <c r="P104" s="16" t="s">
        <v>6</v>
      </c>
      <c r="Q104" s="16" t="s">
        <v>8</v>
      </c>
      <c r="R104" s="16">
        <v>0.5</v>
      </c>
      <c r="S104" s="16">
        <v>1</v>
      </c>
      <c r="T104" s="16" t="s">
        <v>8</v>
      </c>
      <c r="U104" s="16" t="s">
        <v>6</v>
      </c>
      <c r="V104" s="16">
        <f>0.008*1000</f>
        <v>8</v>
      </c>
      <c r="W104" s="16" t="s">
        <v>6</v>
      </c>
      <c r="X104" s="16" t="s">
        <v>8</v>
      </c>
      <c r="Y104" s="16">
        <f>0.1*1000</f>
        <v>100</v>
      </c>
      <c r="Z104" s="16" t="s">
        <v>16</v>
      </c>
      <c r="AA104" s="16" t="s">
        <v>16</v>
      </c>
      <c r="AB104" s="16" t="s">
        <v>16</v>
      </c>
      <c r="AC104" s="2">
        <f t="shared" si="0"/>
        <v>14</v>
      </c>
    </row>
    <row r="105" spans="1:30" x14ac:dyDescent="0.25">
      <c r="A105" s="16" t="s">
        <v>66</v>
      </c>
      <c r="B105" s="17" t="str">
        <f>IFERROR(VLOOKUP(Results!$A105,'Columns B to F vlookup table'!$A$4:$I$21,3,FALSE),"")</f>
        <v>DYE-M</v>
      </c>
      <c r="C105" s="17" t="s">
        <v>27</v>
      </c>
      <c r="D105" s="17" t="str">
        <f>IFERROR(VLOOKUP(Results!$A105,'Columns B to F vlookup table'!$A$4:$I$21,7,FALSE),"")</f>
        <v>Summit</v>
      </c>
      <c r="E105" s="17" t="str">
        <f>IFERROR(VLOOKUP(Results!$A105,'Columns B to F vlookup table'!$A$4:$I$21,8,FALSE),"")</f>
        <v xml:space="preserve"> 66°39'53.59"N</v>
      </c>
      <c r="F105" s="17" t="str">
        <f>IFERROR(VLOOKUP(Results!$A105,'Columns B to F vlookup table'!$A$4:$I$21,9,FALSE),"")</f>
        <v xml:space="preserve"> 61°21'23.78"W</v>
      </c>
      <c r="G105" s="16">
        <v>1715293</v>
      </c>
      <c r="H105" s="16">
        <v>1715294</v>
      </c>
      <c r="I105" s="16">
        <v>183371</v>
      </c>
      <c r="J105" s="18">
        <v>42955</v>
      </c>
      <c r="K105" s="18">
        <v>42965</v>
      </c>
      <c r="L105" s="18">
        <v>42965</v>
      </c>
      <c r="M105" s="16">
        <v>6.7</v>
      </c>
      <c r="N105" s="16">
        <v>2000</v>
      </c>
      <c r="O105" s="16" t="s">
        <v>12</v>
      </c>
      <c r="P105" s="16">
        <v>0.1</v>
      </c>
      <c r="Q105" s="16" t="s">
        <v>8</v>
      </c>
      <c r="R105" s="16">
        <v>0.2</v>
      </c>
      <c r="S105" s="16" t="s">
        <v>8</v>
      </c>
      <c r="T105" s="16" t="s">
        <v>8</v>
      </c>
      <c r="U105" s="16">
        <v>0.2</v>
      </c>
      <c r="V105" s="16" t="s">
        <v>9</v>
      </c>
      <c r="W105" s="16" t="s">
        <v>6</v>
      </c>
      <c r="X105" s="16" t="s">
        <v>8</v>
      </c>
      <c r="Y105" s="16">
        <f>0.2*1000</f>
        <v>200</v>
      </c>
      <c r="Z105" s="16" t="s">
        <v>16</v>
      </c>
      <c r="AA105" s="16" t="s">
        <v>16</v>
      </c>
      <c r="AB105" s="16" t="s">
        <v>16</v>
      </c>
      <c r="AC105" s="2">
        <f t="shared" si="0"/>
        <v>10</v>
      </c>
    </row>
    <row r="106" spans="1:30" x14ac:dyDescent="0.25">
      <c r="A106" s="16" t="s">
        <v>67</v>
      </c>
      <c r="B106" s="17" t="str">
        <f>IFERROR(VLOOKUP(Results!$A106,'Columns B to F vlookup table'!$A$4:$I$21,3,FALSE),"")</f>
        <v>DYE-M</v>
      </c>
      <c r="C106" s="17" t="s">
        <v>27</v>
      </c>
      <c r="D106" s="17" t="str">
        <f>IFERROR(VLOOKUP(Results!$A106,'Columns B to F vlookup table'!$A$4:$I$21,7,FALSE),"")</f>
        <v>Summit</v>
      </c>
      <c r="E106" s="17" t="str">
        <f>IFERROR(VLOOKUP(Results!$A106,'Columns B to F vlookup table'!$A$4:$I$21,8,FALSE),"")</f>
        <v xml:space="preserve"> 66°40'0.13"N</v>
      </c>
      <c r="F106" s="17" t="str">
        <f>IFERROR(VLOOKUP(Results!$A106,'Columns B to F vlookup table'!$A$4:$I$21,9,FALSE),"")</f>
        <v xml:space="preserve"> 61°21'25.76"W</v>
      </c>
      <c r="G106" s="16">
        <v>1715292</v>
      </c>
      <c r="H106" s="16">
        <v>1715291</v>
      </c>
      <c r="I106" s="16">
        <v>183366</v>
      </c>
      <c r="J106" s="18">
        <v>42955</v>
      </c>
      <c r="K106" s="18">
        <v>42965</v>
      </c>
      <c r="L106" s="18">
        <v>42965</v>
      </c>
      <c r="M106" s="16">
        <v>7.67</v>
      </c>
      <c r="N106" s="16" t="s">
        <v>13</v>
      </c>
      <c r="O106" s="16" t="s">
        <v>12</v>
      </c>
      <c r="P106" s="16" t="s">
        <v>6</v>
      </c>
      <c r="Q106" s="16" t="s">
        <v>8</v>
      </c>
      <c r="R106" s="16" t="s">
        <v>7</v>
      </c>
      <c r="S106" s="16" t="s">
        <v>8</v>
      </c>
      <c r="T106" s="16" t="s">
        <v>8</v>
      </c>
      <c r="U106" s="16" t="s">
        <v>6</v>
      </c>
      <c r="V106" s="16" t="s">
        <v>9</v>
      </c>
      <c r="W106" s="16" t="s">
        <v>6</v>
      </c>
      <c r="X106" s="16" t="s">
        <v>8</v>
      </c>
      <c r="Y106" s="16" t="s">
        <v>15</v>
      </c>
      <c r="Z106" s="16" t="s">
        <v>16</v>
      </c>
      <c r="AA106" s="16" t="s">
        <v>16</v>
      </c>
      <c r="AB106" s="16" t="s">
        <v>16</v>
      </c>
      <c r="AC106" s="2">
        <f t="shared" si="0"/>
        <v>10</v>
      </c>
    </row>
    <row r="107" spans="1:30" x14ac:dyDescent="0.25">
      <c r="A107" s="16" t="s">
        <v>62</v>
      </c>
      <c r="B107" s="17" t="str">
        <f>IFERROR(VLOOKUP(Results!$A107,'Columns B to F vlookup table'!$A$4:$I$21,3,FALSE),"")</f>
        <v>FOX-M</v>
      </c>
      <c r="C107" s="17" t="s">
        <v>26</v>
      </c>
      <c r="D107" s="17" t="str">
        <f>IFERROR(VLOOKUP(Results!$A107,'Columns B to F vlookup table'!$A$4:$I$21,7,FALSE),"")</f>
        <v>Summit</v>
      </c>
      <c r="E107" s="17" t="str">
        <f>IFERROR(VLOOKUP(Results!$A107,'Columns B to F vlookup table'!$A$4:$I$21,8,FALSE),"")</f>
        <v xml:space="preserve"> 68°45'42.24"N</v>
      </c>
      <c r="F107" s="17" t="str">
        <f>IFERROR(VLOOKUP(Results!$A107,'Columns B to F vlookup table'!$A$4:$I$21,9,FALSE),"")</f>
        <v xml:space="preserve"> 81°13'25.04"W</v>
      </c>
      <c r="G107" s="16">
        <v>1718527</v>
      </c>
      <c r="H107" s="16">
        <v>1718526</v>
      </c>
      <c r="I107" s="16">
        <v>192668</v>
      </c>
      <c r="J107" s="18">
        <v>42997</v>
      </c>
      <c r="K107" s="18">
        <v>43010</v>
      </c>
      <c r="L107" s="18" t="s">
        <v>143</v>
      </c>
      <c r="M107" s="16">
        <v>8.1199999999999992</v>
      </c>
      <c r="N107" s="16" t="s">
        <v>13</v>
      </c>
      <c r="O107" s="16" t="s">
        <v>12</v>
      </c>
      <c r="P107" s="16" t="s">
        <v>6</v>
      </c>
      <c r="Q107" s="16" t="s">
        <v>8</v>
      </c>
      <c r="R107" s="16" t="s">
        <v>7</v>
      </c>
      <c r="S107" s="16">
        <v>1</v>
      </c>
      <c r="T107" s="16" t="s">
        <v>8</v>
      </c>
      <c r="U107" s="16" t="s">
        <v>6</v>
      </c>
      <c r="V107" s="16">
        <v>5</v>
      </c>
      <c r="W107" s="16" t="s">
        <v>6</v>
      </c>
      <c r="X107" s="16" t="s">
        <v>8</v>
      </c>
      <c r="Y107" s="16" t="s">
        <v>15</v>
      </c>
      <c r="Z107" s="16" t="s">
        <v>16</v>
      </c>
      <c r="AA107" s="16" t="s">
        <v>16</v>
      </c>
      <c r="AB107" s="16" t="s">
        <v>16</v>
      </c>
      <c r="AC107" s="2" t="e">
        <f t="shared" si="0"/>
        <v>#VALUE!</v>
      </c>
    </row>
    <row r="108" spans="1:30" x14ac:dyDescent="0.25">
      <c r="A108" s="16" t="s">
        <v>61</v>
      </c>
      <c r="B108" s="17" t="str">
        <f>IFERROR(VLOOKUP(Results!$A108,'Columns B to F vlookup table'!$A$4:$I$21,3,FALSE),"")</f>
        <v>FOX-M</v>
      </c>
      <c r="C108" s="17" t="s">
        <v>26</v>
      </c>
      <c r="D108" s="17" t="str">
        <f>IFERROR(VLOOKUP(Results!$A108,'Columns B to F vlookup table'!$A$4:$I$21,7,FALSE),"")</f>
        <v>Summit</v>
      </c>
      <c r="E108" s="17" t="str">
        <f>IFERROR(VLOOKUP(Results!$A108,'Columns B to F vlookup table'!$A$4:$I$21,8,FALSE),"")</f>
        <v xml:space="preserve"> 68°45'43.00"N</v>
      </c>
      <c r="F108" s="17" t="str">
        <f>IFERROR(VLOOKUP(Results!$A108,'Columns B to F vlookup table'!$A$4:$I$21,9,FALSE),"")</f>
        <v xml:space="preserve"> 81°13'27.27"W</v>
      </c>
      <c r="G108" s="16">
        <v>1718531</v>
      </c>
      <c r="H108" s="16">
        <v>1718530</v>
      </c>
      <c r="I108" s="16">
        <v>1922667</v>
      </c>
      <c r="J108" s="18">
        <v>42997</v>
      </c>
      <c r="K108" s="18">
        <v>43010</v>
      </c>
      <c r="L108" s="18" t="s">
        <v>143</v>
      </c>
      <c r="M108" s="16">
        <v>8.25</v>
      </c>
      <c r="N108" s="16" t="s">
        <v>13</v>
      </c>
      <c r="O108" s="16" t="s">
        <v>12</v>
      </c>
      <c r="P108" s="16" t="s">
        <v>6</v>
      </c>
      <c r="Q108" s="16" t="s">
        <v>8</v>
      </c>
      <c r="R108" s="16" t="s">
        <v>7</v>
      </c>
      <c r="S108" s="16">
        <v>1</v>
      </c>
      <c r="T108" s="16" t="s">
        <v>8</v>
      </c>
      <c r="U108" s="16" t="s">
        <v>6</v>
      </c>
      <c r="V108" s="16" t="s">
        <v>9</v>
      </c>
      <c r="W108" s="16" t="s">
        <v>6</v>
      </c>
      <c r="X108" s="16" t="s">
        <v>8</v>
      </c>
      <c r="Y108" s="16" t="s">
        <v>15</v>
      </c>
      <c r="Z108" s="16" t="s">
        <v>16</v>
      </c>
      <c r="AA108" s="16" t="s">
        <v>16</v>
      </c>
      <c r="AB108" s="16" t="s">
        <v>16</v>
      </c>
      <c r="AC108" s="2" t="e">
        <f t="shared" si="0"/>
        <v>#VALUE!</v>
      </c>
    </row>
    <row r="109" spans="1:30" x14ac:dyDescent="0.25">
      <c r="A109" s="16" t="s">
        <v>60</v>
      </c>
      <c r="B109" s="17" t="str">
        <f>IFERROR(VLOOKUP(Results!$A109,'Columns B to F vlookup table'!$A$4:$I$21,3,FALSE),"")</f>
        <v>FOX-M</v>
      </c>
      <c r="C109" s="17" t="s">
        <v>26</v>
      </c>
      <c r="D109" s="17" t="str">
        <f>IFERROR(VLOOKUP(Results!$A109,'Columns B to F vlookup table'!$A$4:$I$21,7,FALSE),"")</f>
        <v>Airstrip</v>
      </c>
      <c r="E109" s="17" t="str">
        <f>IFERROR(VLOOKUP(Results!$A109,'Columns B to F vlookup table'!$A$4:$I$21,8,FALSE),"")</f>
        <v xml:space="preserve"> 68°46'15.85"N</v>
      </c>
      <c r="F109" s="17" t="str">
        <f>IFERROR(VLOOKUP(Results!$A109,'Columns B to F vlookup table'!$A$4:$I$21,9,FALSE),"")</f>
        <v xml:space="preserve"> 81°13'58.33"W</v>
      </c>
      <c r="G109" s="16">
        <v>1718529</v>
      </c>
      <c r="H109" s="16">
        <v>1718528</v>
      </c>
      <c r="I109" s="16">
        <v>192676</v>
      </c>
      <c r="J109" s="18">
        <v>42997</v>
      </c>
      <c r="K109" s="18">
        <v>43010</v>
      </c>
      <c r="L109" s="18" t="s">
        <v>143</v>
      </c>
      <c r="M109" s="16">
        <v>8.19</v>
      </c>
      <c r="N109" s="16">
        <v>1000</v>
      </c>
      <c r="O109" s="16" t="s">
        <v>12</v>
      </c>
      <c r="P109" s="16" t="s">
        <v>6</v>
      </c>
      <c r="Q109" s="16" t="s">
        <v>8</v>
      </c>
      <c r="R109" s="16" t="s">
        <v>7</v>
      </c>
      <c r="S109" s="16">
        <v>4</v>
      </c>
      <c r="T109" s="16" t="s">
        <v>8</v>
      </c>
      <c r="U109" s="16">
        <v>0.1</v>
      </c>
      <c r="V109" s="16" t="s">
        <v>9</v>
      </c>
      <c r="W109" s="16" t="s">
        <v>6</v>
      </c>
      <c r="X109" s="16" t="s">
        <v>8</v>
      </c>
      <c r="Y109" s="16">
        <f>0.08*1000</f>
        <v>80</v>
      </c>
      <c r="Z109" s="16" t="s">
        <v>16</v>
      </c>
      <c r="AA109" s="16" t="s">
        <v>16</v>
      </c>
      <c r="AB109" s="16" t="s">
        <v>16</v>
      </c>
      <c r="AC109" s="2" t="e">
        <f t="shared" si="0"/>
        <v>#VALUE!</v>
      </c>
    </row>
    <row r="110" spans="1:30" x14ac:dyDescent="0.25">
      <c r="A110" s="16" t="s">
        <v>70</v>
      </c>
      <c r="B110" s="17" t="str">
        <f>IFERROR(VLOOKUP(Results!$A110,'Columns B to F vlookup table'!$A$4:$I$21,3,FALSE),"")</f>
        <v>CAM-M</v>
      </c>
      <c r="C110" s="17" t="s">
        <v>23</v>
      </c>
      <c r="D110" s="17" t="str">
        <f>IFERROR(VLOOKUP(Results!$A110,'Columns B to F vlookup table'!$A$4:$I$21,7,FALSE),"")</f>
        <v>Summit</v>
      </c>
      <c r="E110" s="17" t="str">
        <f>IFERROR(VLOOKUP(Results!$A110,'Columns B to F vlookup table'!$A$4:$I$21,8,FALSE),"")</f>
        <v xml:space="preserve"> 69° 7'2.76"N</v>
      </c>
      <c r="F110" s="17" t="str">
        <f>IFERROR(VLOOKUP(Results!$A110,'Columns B to F vlookup table'!$A$4:$I$21,9,FALSE),"")</f>
        <v>105° 7'2.69"W</v>
      </c>
      <c r="G110" s="16">
        <v>1809773</v>
      </c>
      <c r="H110" s="16">
        <v>1809773</v>
      </c>
      <c r="I110" s="16">
        <v>193335</v>
      </c>
      <c r="J110" s="18">
        <v>43262</v>
      </c>
      <c r="K110" s="18">
        <v>43271</v>
      </c>
      <c r="L110" s="18">
        <v>43271</v>
      </c>
      <c r="M110" s="16">
        <v>7.57</v>
      </c>
      <c r="N110" s="16">
        <v>1000</v>
      </c>
      <c r="O110" s="16" t="s">
        <v>12</v>
      </c>
      <c r="P110" s="16" t="s">
        <v>6</v>
      </c>
      <c r="Q110" s="16" t="s">
        <v>8</v>
      </c>
      <c r="R110" s="16" t="s">
        <v>7</v>
      </c>
      <c r="S110" s="16">
        <v>12</v>
      </c>
      <c r="T110" s="16" t="s">
        <v>8</v>
      </c>
      <c r="U110" s="16" t="s">
        <v>6</v>
      </c>
      <c r="V110" s="16" t="s">
        <v>9</v>
      </c>
      <c r="W110" s="16" t="s">
        <v>6</v>
      </c>
      <c r="X110" s="16">
        <v>4</v>
      </c>
      <c r="Y110" s="16" t="s">
        <v>15</v>
      </c>
      <c r="Z110" s="16" t="s">
        <v>16</v>
      </c>
      <c r="AA110" s="16" t="s">
        <v>16</v>
      </c>
      <c r="AB110" s="16" t="s">
        <v>16</v>
      </c>
      <c r="AC110" s="2">
        <f t="shared" si="0"/>
        <v>9</v>
      </c>
    </row>
    <row r="111" spans="1:30" x14ac:dyDescent="0.25">
      <c r="A111" s="23" t="s">
        <v>73</v>
      </c>
      <c r="B111" s="24" t="str">
        <f>IFERROR(VLOOKUP(Results!$A111,'Columns B to F vlookup table'!$A$4:$I$21,3,FALSE),"")</f>
        <v>CAM-M</v>
      </c>
      <c r="C111" s="24" t="s">
        <v>23</v>
      </c>
      <c r="D111" s="24" t="str">
        <f>IFERROR(VLOOKUP(Results!$A111,'Columns B to F vlookup table'!$A$4:$I$21,7,FALSE),"")</f>
        <v>Airstrip</v>
      </c>
      <c r="E111" s="24" t="str">
        <f>IFERROR(VLOOKUP(Results!$A111,'Columns B to F vlookup table'!$A$4:$I$21,8,FALSE),"")</f>
        <v xml:space="preserve"> 69° 6'12.01"N</v>
      </c>
      <c r="F111" s="24" t="str">
        <f>IFERROR(VLOOKUP(Results!$A111,'Columns B to F vlookup table'!$A$4:$I$21,9,FALSE),"")</f>
        <v>105° 7'36.60"W</v>
      </c>
      <c r="G111" s="23">
        <v>1810034</v>
      </c>
      <c r="H111" s="23">
        <v>1810033</v>
      </c>
      <c r="I111" s="23">
        <v>176789</v>
      </c>
      <c r="J111" s="25">
        <v>43266</v>
      </c>
      <c r="K111" s="25">
        <v>43278</v>
      </c>
      <c r="L111" s="25">
        <v>43278</v>
      </c>
      <c r="M111" s="23">
        <v>7.57</v>
      </c>
      <c r="N111" s="23" t="s">
        <v>13</v>
      </c>
      <c r="O111" s="23" t="s">
        <v>12</v>
      </c>
      <c r="P111" s="23">
        <v>0.5</v>
      </c>
      <c r="Q111" s="23" t="s">
        <v>8</v>
      </c>
      <c r="R111" s="23">
        <v>0.6</v>
      </c>
      <c r="S111" s="23">
        <v>4</v>
      </c>
      <c r="T111" s="23" t="s">
        <v>8</v>
      </c>
      <c r="U111" s="23" t="s">
        <v>6</v>
      </c>
      <c r="V111" s="23" t="s">
        <v>9</v>
      </c>
      <c r="W111" s="23" t="s">
        <v>6</v>
      </c>
      <c r="X111" s="23" t="s">
        <v>8</v>
      </c>
      <c r="Y111" s="23">
        <f>0.09*1000</f>
        <v>90</v>
      </c>
      <c r="Z111" s="23" t="s">
        <v>16</v>
      </c>
      <c r="AA111" s="23" t="s">
        <v>16</v>
      </c>
      <c r="AB111" s="23" t="s">
        <v>16</v>
      </c>
      <c r="AC111" s="2">
        <f t="shared" si="0"/>
        <v>12</v>
      </c>
    </row>
    <row r="112" spans="1:30" x14ac:dyDescent="0.25">
      <c r="A112" s="16" t="s">
        <v>59</v>
      </c>
      <c r="B112" s="17" t="str">
        <f>IFERROR(VLOOKUP(Results!$A112,'Columns B to F vlookup table'!$A$4:$I$21,3,FALSE),"")</f>
        <v>FOX-M</v>
      </c>
      <c r="C112" s="17" t="s">
        <v>26</v>
      </c>
      <c r="D112" s="17" t="str">
        <f>IFERROR(VLOOKUP(Results!$A112,'Columns B to F vlookup table'!$A$4:$I$21,7,FALSE),"")</f>
        <v>Beach</v>
      </c>
      <c r="E112" s="17" t="str">
        <f>IFERROR(VLOOKUP(Results!$A112,'Columns B to F vlookup table'!$A$4:$I$21,8,FALSE),"")</f>
        <v xml:space="preserve"> 68°46'23.93"N</v>
      </c>
      <c r="F112" s="17" t="str">
        <f>IFERROR(VLOOKUP(Results!$A112,'Columns B to F vlookup table'!$A$4:$I$21,9,FALSE),"")</f>
        <v xml:space="preserve"> 81°12'51.11"W</v>
      </c>
      <c r="G112" s="16">
        <v>1811303</v>
      </c>
      <c r="H112" s="16">
        <v>1811301</v>
      </c>
      <c r="I112" s="16">
        <v>197617</v>
      </c>
      <c r="J112" s="18">
        <v>43276</v>
      </c>
      <c r="K112" s="21">
        <v>43292</v>
      </c>
      <c r="L112" s="21">
        <v>43292</v>
      </c>
      <c r="M112" s="16">
        <v>7.76</v>
      </c>
      <c r="N112" s="16" t="s">
        <v>13</v>
      </c>
      <c r="O112" s="16" t="s">
        <v>12</v>
      </c>
      <c r="P112" s="16" t="s">
        <v>6</v>
      </c>
      <c r="Q112" s="16" t="s">
        <v>8</v>
      </c>
      <c r="R112" s="16" t="s">
        <v>7</v>
      </c>
      <c r="S112" s="16">
        <v>1</v>
      </c>
      <c r="T112" s="16" t="s">
        <v>8</v>
      </c>
      <c r="U112" s="16" t="s">
        <v>6</v>
      </c>
      <c r="V112" s="16" t="s">
        <v>9</v>
      </c>
      <c r="W112" s="16" t="s">
        <v>6</v>
      </c>
      <c r="X112" s="23" t="s">
        <v>8</v>
      </c>
      <c r="Y112" s="16" t="s">
        <v>15</v>
      </c>
      <c r="Z112" s="16" t="s">
        <v>16</v>
      </c>
      <c r="AA112" s="16" t="s">
        <v>16</v>
      </c>
      <c r="AB112" s="16" t="s">
        <v>16</v>
      </c>
      <c r="AC112" s="16">
        <f t="shared" si="0"/>
        <v>16</v>
      </c>
      <c r="AD112" s="16"/>
    </row>
    <row r="113" spans="1:30" x14ac:dyDescent="0.25">
      <c r="A113" s="16" t="s">
        <v>60</v>
      </c>
      <c r="B113" s="17" t="str">
        <f>IFERROR(VLOOKUP(Results!$A113,'Columns B to F vlookup table'!$A$4:$I$21,3,FALSE),"")</f>
        <v>FOX-M</v>
      </c>
      <c r="C113" s="17" t="s">
        <v>26</v>
      </c>
      <c r="D113" s="17" t="str">
        <f>IFERROR(VLOOKUP(Results!$A113,'Columns B to F vlookup table'!$A$4:$I$21,7,FALSE),"")</f>
        <v>Airstrip</v>
      </c>
      <c r="E113" s="17" t="str">
        <f>IFERROR(VLOOKUP(Results!$A113,'Columns B to F vlookup table'!$A$4:$I$21,8,FALSE),"")</f>
        <v xml:space="preserve"> 68°46'15.85"N</v>
      </c>
      <c r="F113" s="17" t="str">
        <f>IFERROR(VLOOKUP(Results!$A113,'Columns B to F vlookup table'!$A$4:$I$21,9,FALSE),"")</f>
        <v xml:space="preserve"> 81°13'58.33"W</v>
      </c>
      <c r="G113" s="16">
        <v>1811305</v>
      </c>
      <c r="H113" s="16">
        <v>1811304</v>
      </c>
      <c r="I113" s="16">
        <v>192664</v>
      </c>
      <c r="J113" s="18">
        <v>43274</v>
      </c>
      <c r="K113" s="21">
        <v>43292</v>
      </c>
      <c r="L113" s="21">
        <v>43292</v>
      </c>
      <c r="M113" s="16">
        <v>7.77</v>
      </c>
      <c r="N113" s="16" t="s">
        <v>13</v>
      </c>
      <c r="O113" s="16" t="s">
        <v>12</v>
      </c>
      <c r="P113" s="16" t="s">
        <v>6</v>
      </c>
      <c r="Q113" s="16">
        <v>1</v>
      </c>
      <c r="R113" s="16" t="s">
        <v>7</v>
      </c>
      <c r="S113" s="16">
        <v>1</v>
      </c>
      <c r="T113" s="16" t="s">
        <v>8</v>
      </c>
      <c r="U113" s="16" t="s">
        <v>6</v>
      </c>
      <c r="V113" s="16" t="s">
        <v>9</v>
      </c>
      <c r="W113" s="16" t="s">
        <v>6</v>
      </c>
      <c r="X113" s="23" t="s">
        <v>8</v>
      </c>
      <c r="Y113" s="16" t="s">
        <v>15</v>
      </c>
      <c r="Z113" s="23" t="s">
        <v>16</v>
      </c>
      <c r="AA113" s="23" t="s">
        <v>16</v>
      </c>
      <c r="AB113" s="23" t="s">
        <v>16</v>
      </c>
      <c r="AC113" s="16">
        <f t="shared" si="0"/>
        <v>18</v>
      </c>
      <c r="AD113" s="16"/>
    </row>
    <row r="114" spans="1:30" x14ac:dyDescent="0.25">
      <c r="A114" s="16" t="s">
        <v>58</v>
      </c>
      <c r="B114" s="17" t="str">
        <f>IFERROR(VLOOKUP(Results!$A114,'Columns B to F vlookup table'!$A$4:$I$21,3,FALSE),"")</f>
        <v>FOX-M</v>
      </c>
      <c r="C114" s="17" t="s">
        <v>26</v>
      </c>
      <c r="D114" s="17" t="str">
        <f>IFERROR(VLOOKUP(Results!$A114,'Columns B to F vlookup table'!$A$4:$I$21,7,FALSE),"")</f>
        <v>Beach</v>
      </c>
      <c r="E114" s="17" t="str">
        <f>IFERROR(VLOOKUP(Results!$A114,'Columns B to F vlookup table'!$A$4:$I$21,8,FALSE),"")</f>
        <v xml:space="preserve"> 68°46'23.75"N</v>
      </c>
      <c r="F114" s="17" t="str">
        <f>IFERROR(VLOOKUP(Results!$A114,'Columns B to F vlookup table'!$A$4:$I$21,9,FALSE),"")</f>
        <v xml:space="preserve"> 81°12'46.12"W</v>
      </c>
      <c r="G114" s="16">
        <v>1811307</v>
      </c>
      <c r="H114" s="16">
        <v>1811306</v>
      </c>
      <c r="I114" s="16">
        <v>197629</v>
      </c>
      <c r="J114" s="18">
        <v>43276</v>
      </c>
      <c r="K114" s="21">
        <v>43292</v>
      </c>
      <c r="L114" s="21">
        <v>43292</v>
      </c>
      <c r="M114" s="16">
        <v>7.86</v>
      </c>
      <c r="N114" s="16" t="s">
        <v>13</v>
      </c>
      <c r="O114" s="16" t="s">
        <v>12</v>
      </c>
      <c r="P114" s="16" t="s">
        <v>6</v>
      </c>
      <c r="Q114" s="16" t="s">
        <v>8</v>
      </c>
      <c r="R114" s="16" t="s">
        <v>7</v>
      </c>
      <c r="S114" s="16">
        <v>2</v>
      </c>
      <c r="T114" s="16" t="s">
        <v>8</v>
      </c>
      <c r="U114" s="16" t="s">
        <v>6</v>
      </c>
      <c r="V114" s="16" t="s">
        <v>9</v>
      </c>
      <c r="W114" s="16" t="s">
        <v>6</v>
      </c>
      <c r="X114" s="23" t="s">
        <v>8</v>
      </c>
      <c r="Y114" s="16" t="s">
        <v>15</v>
      </c>
      <c r="Z114" s="16" t="s">
        <v>16</v>
      </c>
      <c r="AA114" s="16" t="s">
        <v>16</v>
      </c>
      <c r="AB114" s="16" t="s">
        <v>16</v>
      </c>
      <c r="AC114" s="16">
        <f t="shared" si="0"/>
        <v>16</v>
      </c>
      <c r="AD114" s="16"/>
    </row>
    <row r="115" spans="1:30" x14ac:dyDescent="0.25">
      <c r="A115" s="16" t="s">
        <v>62</v>
      </c>
      <c r="B115" s="17" t="str">
        <f>IFERROR(VLOOKUP(Results!$A115,'Columns B to F vlookup table'!$A$4:$I$21,3,FALSE),"")</f>
        <v>FOX-M</v>
      </c>
      <c r="C115" s="17" t="s">
        <v>26</v>
      </c>
      <c r="D115" s="17" t="str">
        <f>IFERROR(VLOOKUP(Results!$A115,'Columns B to F vlookup table'!$A$4:$I$21,7,FALSE),"")</f>
        <v>Summit</v>
      </c>
      <c r="E115" s="17" t="str">
        <f>IFERROR(VLOOKUP(Results!$A115,'Columns B to F vlookup table'!$A$4:$I$21,8,FALSE),"")</f>
        <v xml:space="preserve"> 68°45'42.24"N</v>
      </c>
      <c r="F115" s="17" t="str">
        <f>IFERROR(VLOOKUP(Results!$A115,'Columns B to F vlookup table'!$A$4:$I$21,9,FALSE),"")</f>
        <v xml:space="preserve"> 81°13'25.04"W</v>
      </c>
      <c r="G115" s="16">
        <v>1811300</v>
      </c>
      <c r="H115" s="16">
        <v>1811299</v>
      </c>
      <c r="I115" s="16">
        <v>192665</v>
      </c>
      <c r="J115" s="18">
        <v>43274</v>
      </c>
      <c r="K115" s="21">
        <v>43292</v>
      </c>
      <c r="L115" s="21">
        <v>43292</v>
      </c>
      <c r="M115" s="16">
        <v>7.88</v>
      </c>
      <c r="N115" s="16" t="s">
        <v>13</v>
      </c>
      <c r="O115" s="16" t="s">
        <v>12</v>
      </c>
      <c r="P115" s="16" t="s">
        <v>6</v>
      </c>
      <c r="Q115" s="16" t="s">
        <v>8</v>
      </c>
      <c r="R115" s="16" t="s">
        <v>7</v>
      </c>
      <c r="S115" s="16">
        <v>1</v>
      </c>
      <c r="T115" s="16" t="s">
        <v>8</v>
      </c>
      <c r="U115" s="16" t="s">
        <v>6</v>
      </c>
      <c r="V115" s="16" t="s">
        <v>9</v>
      </c>
      <c r="W115" s="16" t="s">
        <v>6</v>
      </c>
      <c r="X115" s="23" t="s">
        <v>8</v>
      </c>
      <c r="Y115" s="16" t="s">
        <v>15</v>
      </c>
      <c r="Z115" s="23" t="s">
        <v>16</v>
      </c>
      <c r="AA115" s="23" t="s">
        <v>16</v>
      </c>
      <c r="AB115" s="23" t="s">
        <v>16</v>
      </c>
      <c r="AC115" s="16">
        <f t="shared" si="0"/>
        <v>18</v>
      </c>
      <c r="AD115" s="16"/>
    </row>
    <row r="116" spans="1:30" x14ac:dyDescent="0.25">
      <c r="A116" s="23" t="s">
        <v>61</v>
      </c>
      <c r="B116" s="24" t="str">
        <f>IFERROR(VLOOKUP(Results!$A116,'Columns B to F vlookup table'!$A$4:$I$21,3,FALSE),"")</f>
        <v>FOX-M</v>
      </c>
      <c r="C116" s="24" t="s">
        <v>26</v>
      </c>
      <c r="D116" s="24" t="str">
        <f>IFERROR(VLOOKUP(Results!$A116,'Columns B to F vlookup table'!$A$4:$I$21,7,FALSE),"")</f>
        <v>Summit</v>
      </c>
      <c r="E116" s="24" t="str">
        <f>IFERROR(VLOOKUP(Results!$A116,'Columns B to F vlookup table'!$A$4:$I$21,8,FALSE),"")</f>
        <v xml:space="preserve"> 68°45'43.00"N</v>
      </c>
      <c r="F116" s="24" t="str">
        <f>IFERROR(VLOOKUP(Results!$A116,'Columns B to F vlookup table'!$A$4:$I$21,9,FALSE),"")</f>
        <v xml:space="preserve"> 81°13'27.27"W</v>
      </c>
      <c r="G116" s="23">
        <v>1811298</v>
      </c>
      <c r="H116" s="23">
        <v>1811297</v>
      </c>
      <c r="I116" s="23">
        <v>192666</v>
      </c>
      <c r="J116" s="25">
        <v>43274</v>
      </c>
      <c r="K116" s="26">
        <v>43292</v>
      </c>
      <c r="L116" s="26">
        <v>43292</v>
      </c>
      <c r="M116" s="23">
        <v>7.85</v>
      </c>
      <c r="N116" s="23" t="s">
        <v>13</v>
      </c>
      <c r="O116" s="23" t="s">
        <v>12</v>
      </c>
      <c r="P116" s="23" t="s">
        <v>6</v>
      </c>
      <c r="Q116" s="23" t="s">
        <v>8</v>
      </c>
      <c r="R116" s="23" t="s">
        <v>7</v>
      </c>
      <c r="S116" s="23">
        <v>4</v>
      </c>
      <c r="T116" s="23" t="s">
        <v>8</v>
      </c>
      <c r="U116" s="23" t="s">
        <v>6</v>
      </c>
      <c r="V116" s="23" t="s">
        <v>9</v>
      </c>
      <c r="W116" s="23" t="s">
        <v>6</v>
      </c>
      <c r="X116" s="23" t="s">
        <v>8</v>
      </c>
      <c r="Y116" s="23" t="s">
        <v>15</v>
      </c>
      <c r="Z116" s="23" t="s">
        <v>16</v>
      </c>
      <c r="AA116" s="23" t="s">
        <v>16</v>
      </c>
      <c r="AB116" s="23" t="s">
        <v>16</v>
      </c>
      <c r="AC116" s="16">
        <f t="shared" si="0"/>
        <v>18</v>
      </c>
      <c r="AD116" s="16"/>
    </row>
    <row r="117" spans="1:30" x14ac:dyDescent="0.25">
      <c r="A117" s="16" t="s">
        <v>64</v>
      </c>
      <c r="B117" s="17" t="s">
        <v>19</v>
      </c>
      <c r="C117" s="17" t="s">
        <v>146</v>
      </c>
      <c r="D117" s="17" t="s">
        <v>31</v>
      </c>
      <c r="E117" s="17" t="s">
        <v>41</v>
      </c>
      <c r="F117" s="17" t="s">
        <v>42</v>
      </c>
      <c r="G117" s="16" t="e">
        <v>#N/A</v>
      </c>
      <c r="H117" s="16">
        <v>1812364</v>
      </c>
      <c r="I117" s="16">
        <v>833821</v>
      </c>
      <c r="J117" s="18">
        <v>43279</v>
      </c>
      <c r="K117" s="18">
        <v>43304</v>
      </c>
      <c r="L117" s="18">
        <v>43304</v>
      </c>
      <c r="M117" s="16" t="s">
        <v>129</v>
      </c>
      <c r="N117" s="16">
        <v>1000</v>
      </c>
      <c r="O117" s="16" t="s">
        <v>129</v>
      </c>
      <c r="P117" s="16" t="s">
        <v>129</v>
      </c>
      <c r="Q117" s="16" t="s">
        <v>129</v>
      </c>
      <c r="R117" s="16" t="s">
        <v>129</v>
      </c>
      <c r="S117" s="16" t="s">
        <v>129</v>
      </c>
      <c r="T117" s="16" t="s">
        <v>129</v>
      </c>
      <c r="U117" s="16" t="s">
        <v>129</v>
      </c>
      <c r="V117" s="16" t="s">
        <v>129</v>
      </c>
      <c r="W117" s="16" t="s">
        <v>129</v>
      </c>
      <c r="X117" s="16" t="s">
        <v>129</v>
      </c>
      <c r="Y117" s="16" t="s">
        <v>129</v>
      </c>
      <c r="Z117" s="16" t="s">
        <v>16</v>
      </c>
      <c r="AA117" s="16" t="s">
        <v>16</v>
      </c>
      <c r="AB117" s="16" t="s">
        <v>16</v>
      </c>
      <c r="AC117" s="2">
        <v>25</v>
      </c>
    </row>
    <row r="118" spans="1:30" x14ac:dyDescent="0.25">
      <c r="A118" s="16" t="s">
        <v>63</v>
      </c>
      <c r="B118" s="17" t="s">
        <v>19</v>
      </c>
      <c r="C118" s="17" t="s">
        <v>146</v>
      </c>
      <c r="D118" s="17" t="s">
        <v>31</v>
      </c>
      <c r="E118" s="17" t="s">
        <v>39</v>
      </c>
      <c r="F118" s="17" t="s">
        <v>40</v>
      </c>
      <c r="G118" s="16" t="e">
        <v>#N/A</v>
      </c>
      <c r="H118" s="16">
        <v>1812363</v>
      </c>
      <c r="I118" s="16">
        <v>833820</v>
      </c>
      <c r="J118" s="18">
        <v>43279</v>
      </c>
      <c r="K118" s="18">
        <v>43304</v>
      </c>
      <c r="L118" s="18">
        <v>43304</v>
      </c>
      <c r="M118" s="16" t="s">
        <v>129</v>
      </c>
      <c r="N118" s="16" t="s">
        <v>13</v>
      </c>
      <c r="O118" s="16" t="s">
        <v>129</v>
      </c>
      <c r="P118" s="16" t="s">
        <v>129</v>
      </c>
      <c r="Q118" s="16" t="s">
        <v>129</v>
      </c>
      <c r="R118" s="16" t="s">
        <v>129</v>
      </c>
      <c r="S118" s="16" t="s">
        <v>129</v>
      </c>
      <c r="T118" s="16" t="s">
        <v>129</v>
      </c>
      <c r="U118" s="16" t="s">
        <v>129</v>
      </c>
      <c r="V118" s="16" t="s">
        <v>129</v>
      </c>
      <c r="W118" s="16" t="s">
        <v>129</v>
      </c>
      <c r="X118" s="16" t="s">
        <v>129</v>
      </c>
      <c r="Y118" s="16" t="s">
        <v>129</v>
      </c>
      <c r="Z118" s="16" t="s">
        <v>16</v>
      </c>
      <c r="AA118" s="16" t="s">
        <v>16</v>
      </c>
      <c r="AB118" s="16" t="s">
        <v>16</v>
      </c>
      <c r="AC118" s="2">
        <v>25</v>
      </c>
    </row>
    <row r="119" spans="1:30" x14ac:dyDescent="0.25">
      <c r="A119" s="16" t="s">
        <v>65</v>
      </c>
      <c r="B119" s="17" t="str">
        <f>IFERROR(VLOOKUP(Results!$A119,'Columns B to F vlookup table'!$A$4:$I$21,3,FALSE),"")</f>
        <v>FOX-3</v>
      </c>
      <c r="C119" s="17" t="str">
        <f>IFERROR(VLOOKUP(Results!$A119,'Columns B to F vlookup table'!$A$4:$I$21,4,FALSE),"")</f>
        <v>8BC-FOD1828</v>
      </c>
      <c r="D119" s="17" t="str">
        <f>IFERROR(VLOOKUP(Results!$A119,'Columns B to F vlookup table'!$A$4:$I$21,7,FALSE),"")</f>
        <v>Airstrip</v>
      </c>
      <c r="E119" s="17" t="str">
        <f>IFERROR(VLOOKUP(Results!$A119,'Columns B to F vlookup table'!$A$4:$I$21,8,FALSE),"")</f>
        <v xml:space="preserve"> 68°37'24.90"N</v>
      </c>
      <c r="F119" s="17" t="str">
        <f>IFERROR(VLOOKUP(Results!$A119,'Columns B to F vlookup table'!$A$4:$I$21,9,FALSE),"")</f>
        <v xml:space="preserve"> 71° 8'5.62"W</v>
      </c>
      <c r="G119" s="16" t="e">
        <v>#N/A</v>
      </c>
      <c r="H119" s="16">
        <v>1812815</v>
      </c>
      <c r="I119" s="16">
        <v>834018</v>
      </c>
      <c r="J119" s="18">
        <v>43279</v>
      </c>
      <c r="K119" s="18">
        <v>43311</v>
      </c>
      <c r="L119" s="18">
        <v>43312</v>
      </c>
      <c r="M119" s="16" t="s">
        <v>129</v>
      </c>
      <c r="N119" s="16">
        <v>1000</v>
      </c>
      <c r="O119" s="16" t="s">
        <v>129</v>
      </c>
      <c r="P119" s="16" t="s">
        <v>129</v>
      </c>
      <c r="Q119" s="16" t="s">
        <v>129</v>
      </c>
      <c r="R119" s="16" t="s">
        <v>129</v>
      </c>
      <c r="S119" s="16" t="s">
        <v>129</v>
      </c>
      <c r="T119" s="16" t="s">
        <v>129</v>
      </c>
      <c r="U119" s="16" t="s">
        <v>129</v>
      </c>
      <c r="V119" s="16" t="s">
        <v>129</v>
      </c>
      <c r="W119" s="16" t="s">
        <v>129</v>
      </c>
      <c r="X119" s="16" t="s">
        <v>129</v>
      </c>
      <c r="Y119" s="16" t="s">
        <v>129</v>
      </c>
      <c r="Z119" s="16" t="s">
        <v>16</v>
      </c>
      <c r="AA119" s="16" t="s">
        <v>16</v>
      </c>
      <c r="AB119" s="16" t="s">
        <v>16</v>
      </c>
      <c r="AC119" s="2">
        <f t="shared" si="0"/>
        <v>33</v>
      </c>
    </row>
    <row r="120" spans="1:30" x14ac:dyDescent="0.25">
      <c r="A120" s="16" t="s">
        <v>67</v>
      </c>
      <c r="B120" s="17" t="str">
        <f>IFERROR(VLOOKUP(Results!$A120,'Columns B to F vlookup table'!$A$4:$I$21,3,FALSE),"")</f>
        <v>DYE-M</v>
      </c>
      <c r="C120" s="17" t="str">
        <f>IFERROR(VLOOKUP(Results!$A120,'Columns B to F vlookup table'!$A$4:$I$21,4,FALSE),"")</f>
        <v>3BC-DYE0919</v>
      </c>
      <c r="D120" s="17" t="str">
        <f>IFERROR(VLOOKUP(Results!$A120,'Columns B to F vlookup table'!$A$4:$I$21,7,FALSE),"")</f>
        <v>Summit</v>
      </c>
      <c r="E120" s="17" t="str">
        <f>IFERROR(VLOOKUP(Results!$A120,'Columns B to F vlookup table'!$A$4:$I$21,8,FALSE),"")</f>
        <v xml:space="preserve"> 66°40'0.13"N</v>
      </c>
      <c r="F120" s="17" t="str">
        <f>IFERROR(VLOOKUP(Results!$A120,'Columns B to F vlookup table'!$A$4:$I$21,9,FALSE),"")</f>
        <v xml:space="preserve"> 61°21'25.76"W</v>
      </c>
      <c r="G120" s="16">
        <v>1813289</v>
      </c>
      <c r="H120" s="16">
        <v>1813288</v>
      </c>
      <c r="I120" s="16">
        <v>834189</v>
      </c>
      <c r="J120" s="18">
        <v>43301</v>
      </c>
      <c r="K120" s="18">
        <v>43312</v>
      </c>
      <c r="L120" s="18">
        <v>43312</v>
      </c>
      <c r="M120" s="16">
        <v>6.91</v>
      </c>
      <c r="N120" s="16" t="s">
        <v>13</v>
      </c>
      <c r="O120" s="16" t="s">
        <v>12</v>
      </c>
      <c r="P120" s="16" t="s">
        <v>6</v>
      </c>
      <c r="Q120" s="16" t="s">
        <v>8</v>
      </c>
      <c r="R120" s="16" t="s">
        <v>7</v>
      </c>
      <c r="S120" s="16" t="s">
        <v>8</v>
      </c>
      <c r="T120" s="16" t="s">
        <v>8</v>
      </c>
      <c r="U120" s="16" t="s">
        <v>6</v>
      </c>
      <c r="V120" s="16" t="s">
        <v>9</v>
      </c>
      <c r="W120" s="16" t="s">
        <v>6</v>
      </c>
      <c r="X120" s="16" t="s">
        <v>8</v>
      </c>
      <c r="Y120" s="16" t="s">
        <v>15</v>
      </c>
      <c r="Z120" s="16" t="s">
        <v>16</v>
      </c>
      <c r="AA120" s="16" t="s">
        <v>16</v>
      </c>
      <c r="AB120" s="16" t="s">
        <v>16</v>
      </c>
      <c r="AC120" s="2">
        <f t="shared" si="0"/>
        <v>11</v>
      </c>
    </row>
    <row r="121" spans="1:30" x14ac:dyDescent="0.25">
      <c r="A121" s="16" t="s">
        <v>66</v>
      </c>
      <c r="B121" s="17" t="str">
        <f>IFERROR(VLOOKUP(Results!$A121,'Columns B to F vlookup table'!$A$4:$I$21,3,FALSE),"")</f>
        <v>DYE-M</v>
      </c>
      <c r="C121" s="17" t="str">
        <f>IFERROR(VLOOKUP(Results!$A121,'Columns B to F vlookup table'!$A$4:$I$21,4,FALSE),"")</f>
        <v>3BC-DYE0919</v>
      </c>
      <c r="D121" s="17" t="str">
        <f>IFERROR(VLOOKUP(Results!$A121,'Columns B to F vlookup table'!$A$4:$I$21,7,FALSE),"")</f>
        <v>Summit</v>
      </c>
      <c r="E121" s="17" t="str">
        <f>IFERROR(VLOOKUP(Results!$A121,'Columns B to F vlookup table'!$A$4:$I$21,8,FALSE),"")</f>
        <v xml:space="preserve"> 66°39'53.59"N</v>
      </c>
      <c r="F121" s="17" t="str">
        <f>IFERROR(VLOOKUP(Results!$A121,'Columns B to F vlookup table'!$A$4:$I$21,9,FALSE),"")</f>
        <v xml:space="preserve"> 61°21'23.78"W</v>
      </c>
      <c r="G121" s="16">
        <v>1814390</v>
      </c>
      <c r="H121" s="16">
        <v>1814389</v>
      </c>
      <c r="I121" s="16">
        <v>176747</v>
      </c>
      <c r="J121" s="18">
        <v>43321</v>
      </c>
      <c r="K121" s="18">
        <v>43333</v>
      </c>
      <c r="L121" s="18">
        <v>43336</v>
      </c>
      <c r="M121" s="16">
        <v>3.91</v>
      </c>
      <c r="N121" s="16" t="s">
        <v>13</v>
      </c>
      <c r="O121" s="16" t="s">
        <v>12</v>
      </c>
      <c r="P121" s="16">
        <v>0.3</v>
      </c>
      <c r="Q121" s="16" t="s">
        <v>8</v>
      </c>
      <c r="R121" s="16" t="s">
        <v>7</v>
      </c>
      <c r="S121" s="16">
        <v>5</v>
      </c>
      <c r="T121" s="16" t="s">
        <v>8</v>
      </c>
      <c r="U121" s="16" t="s">
        <v>6</v>
      </c>
      <c r="V121" s="16" t="s">
        <v>9</v>
      </c>
      <c r="W121" s="16" t="s">
        <v>6</v>
      </c>
      <c r="X121" s="16" t="s">
        <v>8</v>
      </c>
      <c r="Y121" s="16">
        <f>0.16*1000</f>
        <v>160</v>
      </c>
      <c r="Z121" s="16" t="s">
        <v>16</v>
      </c>
      <c r="AA121" s="16" t="s">
        <v>16</v>
      </c>
      <c r="AB121" s="16" t="s">
        <v>16</v>
      </c>
      <c r="AC121" s="2">
        <f t="shared" si="0"/>
        <v>15</v>
      </c>
    </row>
    <row r="122" spans="1:30" x14ac:dyDescent="0.25">
      <c r="A122" s="16" t="s">
        <v>66</v>
      </c>
      <c r="B122" s="17" t="str">
        <f>IFERROR(VLOOKUP(Results!$A122,'Columns B to F vlookup table'!$A$4:$I$21,3,FALSE),"")</f>
        <v>DYE-M</v>
      </c>
      <c r="C122" s="17" t="str">
        <f>IFERROR(VLOOKUP(Results!$A122,'Columns B to F vlookup table'!$A$4:$I$21,4,FALSE),"")</f>
        <v>3BC-DYE0919</v>
      </c>
      <c r="D122" s="17" t="str">
        <f>IFERROR(VLOOKUP(Results!$A122,'Columns B to F vlookup table'!$A$4:$I$21,7,FALSE),"")</f>
        <v>Summit</v>
      </c>
      <c r="E122" s="17" t="str">
        <f>IFERROR(VLOOKUP(Results!$A122,'Columns B to F vlookup table'!$A$4:$I$21,8,FALSE),"")</f>
        <v xml:space="preserve"> 66°39'53.59"N</v>
      </c>
      <c r="F122" s="17" t="str">
        <f>IFERROR(VLOOKUP(Results!$A122,'Columns B to F vlookup table'!$A$4:$I$21,9,FALSE),"")</f>
        <v xml:space="preserve"> 61°21'23.78"W</v>
      </c>
      <c r="G122" s="16">
        <v>1815837</v>
      </c>
      <c r="H122" s="16">
        <v>1815836</v>
      </c>
      <c r="I122" s="16">
        <v>176743</v>
      </c>
      <c r="J122" s="18">
        <v>43340</v>
      </c>
      <c r="K122" s="18">
        <v>43350</v>
      </c>
      <c r="L122" s="18">
        <v>43368</v>
      </c>
      <c r="M122" s="16">
        <v>6.27</v>
      </c>
      <c r="N122" s="16" t="s">
        <v>13</v>
      </c>
      <c r="O122" s="16" t="s">
        <v>12</v>
      </c>
      <c r="P122" s="16" t="s">
        <v>6</v>
      </c>
      <c r="Q122" s="16" t="s">
        <v>8</v>
      </c>
      <c r="R122" s="16" t="s">
        <v>7</v>
      </c>
      <c r="S122" s="16" t="s">
        <v>8</v>
      </c>
      <c r="T122" s="16" t="s">
        <v>8</v>
      </c>
      <c r="U122" s="16" t="s">
        <v>6</v>
      </c>
      <c r="V122" s="16" t="s">
        <v>9</v>
      </c>
      <c r="W122" s="16" t="s">
        <v>6</v>
      </c>
      <c r="X122" s="16" t="s">
        <v>8</v>
      </c>
      <c r="Y122" s="16">
        <f>0.18*1000</f>
        <v>180</v>
      </c>
      <c r="Z122" s="16" t="s">
        <v>16</v>
      </c>
      <c r="AA122" s="16" t="s">
        <v>16</v>
      </c>
      <c r="AB122" s="16" t="s">
        <v>16</v>
      </c>
      <c r="AC122" s="2">
        <f t="shared" si="0"/>
        <v>28</v>
      </c>
    </row>
    <row r="123" spans="1:30" x14ac:dyDescent="0.25">
      <c r="B123" s="3" t="str">
        <f>IFERROR(VLOOKUP(Results!$A123,'Columns B to F vlookup table'!$A$4:$I$21,3,FALSE),"")</f>
        <v/>
      </c>
      <c r="C123" s="3" t="str">
        <f>IFERROR(VLOOKUP(Results!$A123,'Columns B to F vlookup table'!$A$4:$I$21,4,FALSE),"")</f>
        <v/>
      </c>
      <c r="D123" s="3" t="str">
        <f>IFERROR(VLOOKUP(Results!$A123,'Columns B to F vlookup table'!$A$4:$I$21,7,FALSE),"")</f>
        <v/>
      </c>
      <c r="E123" s="3" t="str">
        <f>IFERROR(VLOOKUP(Results!$A123,'Columns B to F vlookup table'!$A$4:$I$21,8,FALSE),"")</f>
        <v/>
      </c>
      <c r="F123" s="3" t="str">
        <f>IFERROR(VLOOKUP(Results!$A123,'Columns B to F vlookup table'!$A$4:$I$21,9,FALSE),"")</f>
        <v/>
      </c>
      <c r="AC123" s="2">
        <f t="shared" si="0"/>
        <v>0</v>
      </c>
    </row>
    <row r="124" spans="1:30" x14ac:dyDescent="0.25">
      <c r="B124" s="3" t="str">
        <f>IFERROR(VLOOKUP(Results!$A124,'Columns B to F vlookup table'!$A$4:$I$21,3,FALSE),"")</f>
        <v/>
      </c>
      <c r="C124" s="3" t="str">
        <f>IFERROR(VLOOKUP(Results!$A124,'Columns B to F vlookup table'!$A$4:$I$21,4,FALSE),"")</f>
        <v/>
      </c>
      <c r="D124" s="3" t="str">
        <f>IFERROR(VLOOKUP(Results!$A124,'Columns B to F vlookup table'!$A$4:$I$21,7,FALSE),"")</f>
        <v/>
      </c>
      <c r="E124" s="3" t="str">
        <f>IFERROR(VLOOKUP(Results!$A124,'Columns B to F vlookup table'!$A$4:$I$21,8,FALSE),"")</f>
        <v/>
      </c>
      <c r="F124" s="3" t="str">
        <f>IFERROR(VLOOKUP(Results!$A124,'Columns B to F vlookup table'!$A$4:$I$21,9,FALSE),"")</f>
        <v/>
      </c>
      <c r="AC124" s="2">
        <f t="shared" si="0"/>
        <v>0</v>
      </c>
    </row>
    <row r="125" spans="1:30" x14ac:dyDescent="0.25">
      <c r="B125" s="3" t="str">
        <f>IFERROR(VLOOKUP(Results!$A125,'Columns B to F vlookup table'!$A$4:$I$21,3,FALSE),"")</f>
        <v/>
      </c>
      <c r="C125" s="3" t="str">
        <f>IFERROR(VLOOKUP(Results!$A125,'Columns B to F vlookup table'!$A$4:$I$21,4,FALSE),"")</f>
        <v/>
      </c>
      <c r="D125" s="3" t="str">
        <f>IFERROR(VLOOKUP(Results!$A125,'Columns B to F vlookup table'!$A$4:$I$21,7,FALSE),"")</f>
        <v/>
      </c>
      <c r="E125" s="3" t="str">
        <f>IFERROR(VLOOKUP(Results!$A125,'Columns B to F vlookup table'!$A$4:$I$21,8,FALSE),"")</f>
        <v/>
      </c>
      <c r="F125" s="3" t="str">
        <f>IFERROR(VLOOKUP(Results!$A125,'Columns B to F vlookup table'!$A$4:$I$21,9,FALSE),"")</f>
        <v/>
      </c>
      <c r="AC125" s="2">
        <f t="shared" si="0"/>
        <v>0</v>
      </c>
    </row>
    <row r="126" spans="1:30" x14ac:dyDescent="0.25">
      <c r="B126" s="3" t="str">
        <f>IFERROR(VLOOKUP(Results!$A126,'Columns B to F vlookup table'!$A$4:$I$21,3,FALSE),"")</f>
        <v/>
      </c>
      <c r="C126" s="3" t="str">
        <f>IFERROR(VLOOKUP(Results!$A126,'Columns B to F vlookup table'!$A$4:$I$21,4,FALSE),"")</f>
        <v/>
      </c>
      <c r="D126" s="3" t="str">
        <f>IFERROR(VLOOKUP(Results!$A126,'Columns B to F vlookup table'!$A$4:$I$21,7,FALSE),"")</f>
        <v/>
      </c>
      <c r="E126" s="3" t="str">
        <f>IFERROR(VLOOKUP(Results!$A126,'Columns B to F vlookup table'!$A$4:$I$21,8,FALSE),"")</f>
        <v/>
      </c>
      <c r="F126" s="3" t="str">
        <f>IFERROR(VLOOKUP(Results!$A126,'Columns B to F vlookup table'!$A$4:$I$21,9,FALSE),"")</f>
        <v/>
      </c>
      <c r="AC126" s="2">
        <f t="shared" si="0"/>
        <v>0</v>
      </c>
    </row>
    <row r="127" spans="1:30" x14ac:dyDescent="0.25">
      <c r="B127" s="3" t="str">
        <f>IFERROR(VLOOKUP(Results!$A127,'Columns B to F vlookup table'!$A$4:$I$21,3,FALSE),"")</f>
        <v/>
      </c>
      <c r="C127" s="3" t="str">
        <f>IFERROR(VLOOKUP(Results!$A127,'Columns B to F vlookup table'!$A$4:$I$21,4,FALSE),"")</f>
        <v/>
      </c>
      <c r="D127" s="3" t="str">
        <f>IFERROR(VLOOKUP(Results!$A127,'Columns B to F vlookup table'!$A$4:$I$21,7,FALSE),"")</f>
        <v/>
      </c>
      <c r="E127" s="3" t="str">
        <f>IFERROR(VLOOKUP(Results!$A127,'Columns B to F vlookup table'!$A$4:$I$21,8,FALSE),"")</f>
        <v/>
      </c>
      <c r="F127" s="3" t="str">
        <f>IFERROR(VLOOKUP(Results!$A127,'Columns B to F vlookup table'!$A$4:$I$21,9,FALSE),"")</f>
        <v/>
      </c>
      <c r="AC127" s="2">
        <f t="shared" si="0"/>
        <v>0</v>
      </c>
    </row>
    <row r="128" spans="1:30" x14ac:dyDescent="0.25">
      <c r="B128" s="3" t="str">
        <f>IFERROR(VLOOKUP(Results!$A128,'Columns B to F vlookup table'!$A$4:$I$21,3,FALSE),"")</f>
        <v/>
      </c>
      <c r="C128" s="3" t="str">
        <f>IFERROR(VLOOKUP(Results!$A128,'Columns B to F vlookup table'!$A$4:$I$21,4,FALSE),"")</f>
        <v/>
      </c>
      <c r="D128" s="3" t="str">
        <f>IFERROR(VLOOKUP(Results!$A128,'Columns B to F vlookup table'!$A$4:$I$21,7,FALSE),"")</f>
        <v/>
      </c>
      <c r="E128" s="3" t="str">
        <f>IFERROR(VLOOKUP(Results!$A128,'Columns B to F vlookup table'!$A$4:$I$21,8,FALSE),"")</f>
        <v/>
      </c>
      <c r="F128" s="3" t="str">
        <f>IFERROR(VLOOKUP(Results!$A128,'Columns B to F vlookup table'!$A$4:$I$21,9,FALSE),"")</f>
        <v/>
      </c>
      <c r="AC128" s="2">
        <f t="shared" si="0"/>
        <v>0</v>
      </c>
    </row>
    <row r="129" spans="2:29" x14ac:dyDescent="0.25">
      <c r="B129" s="3" t="str">
        <f>IFERROR(VLOOKUP(Results!$A129,'Columns B to F vlookup table'!$A$4:$I$21,3,FALSE),"")</f>
        <v/>
      </c>
      <c r="C129" s="3" t="str">
        <f>IFERROR(VLOOKUP(Results!$A129,'Columns B to F vlookup table'!$A$4:$I$21,4,FALSE),"")</f>
        <v/>
      </c>
      <c r="D129" s="3" t="str">
        <f>IFERROR(VLOOKUP(Results!$A129,'Columns B to F vlookup table'!$A$4:$I$21,7,FALSE),"")</f>
        <v/>
      </c>
      <c r="E129" s="3" t="str">
        <f>IFERROR(VLOOKUP(Results!$A129,'Columns B to F vlookup table'!$A$4:$I$21,8,FALSE),"")</f>
        <v/>
      </c>
      <c r="F129" s="3" t="str">
        <f>IFERROR(VLOOKUP(Results!$A129,'Columns B to F vlookup table'!$A$4:$I$21,9,FALSE),"")</f>
        <v/>
      </c>
      <c r="AC129" s="2">
        <f t="shared" si="0"/>
        <v>0</v>
      </c>
    </row>
    <row r="130" spans="2:29" x14ac:dyDescent="0.25">
      <c r="B130" s="3" t="str">
        <f>IFERROR(VLOOKUP(Results!$A130,'Columns B to F vlookup table'!$A$4:$I$21,3,FALSE),"")</f>
        <v/>
      </c>
      <c r="C130" s="3" t="str">
        <f>IFERROR(VLOOKUP(Results!$A130,'Columns B to F vlookup table'!$A$4:$I$21,4,FALSE),"")</f>
        <v/>
      </c>
      <c r="D130" s="3" t="str">
        <f>IFERROR(VLOOKUP(Results!$A130,'Columns B to F vlookup table'!$A$4:$I$21,7,FALSE),"")</f>
        <v/>
      </c>
      <c r="E130" s="3" t="str">
        <f>IFERROR(VLOOKUP(Results!$A130,'Columns B to F vlookup table'!$A$4:$I$21,8,FALSE),"")</f>
        <v/>
      </c>
      <c r="F130" s="3" t="str">
        <f>IFERROR(VLOOKUP(Results!$A130,'Columns B to F vlookup table'!$A$4:$I$21,9,FALSE),"")</f>
        <v/>
      </c>
      <c r="AC130" s="2">
        <f t="shared" si="0"/>
        <v>0</v>
      </c>
    </row>
    <row r="131" spans="2:29" x14ac:dyDescent="0.25">
      <c r="B131" s="3" t="str">
        <f>IFERROR(VLOOKUP(Results!$A131,'Columns B to F vlookup table'!$A$4:$I$21,3,FALSE),"")</f>
        <v/>
      </c>
      <c r="C131" s="3" t="str">
        <f>IFERROR(VLOOKUP(Results!$A131,'Columns B to F vlookup table'!$A$4:$I$21,4,FALSE),"")</f>
        <v/>
      </c>
      <c r="D131" s="3" t="str">
        <f>IFERROR(VLOOKUP(Results!$A131,'Columns B to F vlookup table'!$A$4:$I$21,7,FALSE),"")</f>
        <v/>
      </c>
      <c r="E131" s="3" t="str">
        <f>IFERROR(VLOOKUP(Results!$A131,'Columns B to F vlookup table'!$A$4:$I$21,8,FALSE),"")</f>
        <v/>
      </c>
      <c r="F131" s="3" t="str">
        <f>IFERROR(VLOOKUP(Results!$A131,'Columns B to F vlookup table'!$A$4:$I$21,9,FALSE),"")</f>
        <v/>
      </c>
      <c r="AC131" s="2">
        <f t="shared" si="0"/>
        <v>0</v>
      </c>
    </row>
    <row r="132" spans="2:29" x14ac:dyDescent="0.25">
      <c r="B132" s="3" t="str">
        <f>IFERROR(VLOOKUP(Results!$A132,'Columns B to F vlookup table'!$A$4:$I$21,3,FALSE),"")</f>
        <v/>
      </c>
      <c r="C132" s="3" t="str">
        <f>IFERROR(VLOOKUP(Results!$A132,'Columns B to F vlookup table'!$A$4:$I$21,4,FALSE),"")</f>
        <v/>
      </c>
      <c r="D132" s="3" t="str">
        <f>IFERROR(VLOOKUP(Results!$A132,'Columns B to F vlookup table'!$A$4:$I$21,7,FALSE),"")</f>
        <v/>
      </c>
      <c r="E132" s="3" t="str">
        <f>IFERROR(VLOOKUP(Results!$A132,'Columns B to F vlookup table'!$A$4:$I$21,8,FALSE),"")</f>
        <v/>
      </c>
      <c r="F132" s="3" t="str">
        <f>IFERROR(VLOOKUP(Results!$A132,'Columns B to F vlookup table'!$A$4:$I$21,9,FALSE),"")</f>
        <v/>
      </c>
      <c r="AC132" s="2">
        <f t="shared" si="0"/>
        <v>0</v>
      </c>
    </row>
    <row r="133" spans="2:29" x14ac:dyDescent="0.25">
      <c r="B133" s="3" t="str">
        <f>IFERROR(VLOOKUP(Results!$A133,'Columns B to F vlookup table'!$A$4:$I$21,3,FALSE),"")</f>
        <v/>
      </c>
      <c r="C133" s="3" t="str">
        <f>IFERROR(VLOOKUP(Results!$A133,'Columns B to F vlookup table'!$A$4:$I$21,4,FALSE),"")</f>
        <v/>
      </c>
      <c r="D133" s="3" t="str">
        <f>IFERROR(VLOOKUP(Results!$A133,'Columns B to F vlookup table'!$A$4:$I$21,7,FALSE),"")</f>
        <v/>
      </c>
      <c r="E133" s="3" t="str">
        <f>IFERROR(VLOOKUP(Results!$A133,'Columns B to F vlookup table'!$A$4:$I$21,8,FALSE),"")</f>
        <v/>
      </c>
      <c r="F133" s="3" t="str">
        <f>IFERROR(VLOOKUP(Results!$A133,'Columns B to F vlookup table'!$A$4:$I$21,9,FALSE),"")</f>
        <v/>
      </c>
      <c r="AC133" s="2">
        <f t="shared" si="0"/>
        <v>0</v>
      </c>
    </row>
    <row r="134" spans="2:29" x14ac:dyDescent="0.25">
      <c r="B134" s="3" t="str">
        <f>IFERROR(VLOOKUP(Results!$A134,'Columns B to F vlookup table'!$A$4:$I$21,3,FALSE),"")</f>
        <v/>
      </c>
      <c r="C134" s="3" t="str">
        <f>IFERROR(VLOOKUP(Results!$A134,'Columns B to F vlookup table'!$A$4:$I$21,4,FALSE),"")</f>
        <v/>
      </c>
      <c r="D134" s="3" t="str">
        <f>IFERROR(VLOOKUP(Results!$A134,'Columns B to F vlookup table'!$A$4:$I$21,7,FALSE),"")</f>
        <v/>
      </c>
      <c r="E134" s="3" t="str">
        <f>IFERROR(VLOOKUP(Results!$A134,'Columns B to F vlookup table'!$A$4:$I$21,8,FALSE),"")</f>
        <v/>
      </c>
      <c r="F134" s="3" t="str">
        <f>IFERROR(VLOOKUP(Results!$A134,'Columns B to F vlookup table'!$A$4:$I$21,9,FALSE),"")</f>
        <v/>
      </c>
      <c r="AC134" s="2">
        <f t="shared" si="0"/>
        <v>0</v>
      </c>
    </row>
    <row r="135" spans="2:29" x14ac:dyDescent="0.25">
      <c r="B135" s="3" t="str">
        <f>IFERROR(VLOOKUP(Results!$A135,'Columns B to F vlookup table'!$A$4:$I$21,3,FALSE),"")</f>
        <v/>
      </c>
      <c r="C135" s="3" t="str">
        <f>IFERROR(VLOOKUP(Results!$A135,'Columns B to F vlookup table'!$A$4:$I$21,4,FALSE),"")</f>
        <v/>
      </c>
      <c r="D135" s="3" t="str">
        <f>IFERROR(VLOOKUP(Results!$A135,'Columns B to F vlookup table'!$A$4:$I$21,7,FALSE),"")</f>
        <v/>
      </c>
      <c r="E135" s="3" t="str">
        <f>IFERROR(VLOOKUP(Results!$A135,'Columns B to F vlookup table'!$A$4:$I$21,8,FALSE),"")</f>
        <v/>
      </c>
      <c r="F135" s="3" t="str">
        <f>IFERROR(VLOOKUP(Results!$A135,'Columns B to F vlookup table'!$A$4:$I$21,9,FALSE),"")</f>
        <v/>
      </c>
      <c r="AC135" s="2">
        <f t="shared" si="0"/>
        <v>0</v>
      </c>
    </row>
    <row r="136" spans="2:29" x14ac:dyDescent="0.25">
      <c r="B136" s="3" t="str">
        <f>IFERROR(VLOOKUP(Results!$A136,'Columns B to F vlookup table'!$A$4:$I$21,3,FALSE),"")</f>
        <v/>
      </c>
      <c r="C136" s="3" t="str">
        <f>IFERROR(VLOOKUP(Results!$A136,'Columns B to F vlookup table'!$A$4:$I$21,4,FALSE),"")</f>
        <v/>
      </c>
      <c r="D136" s="3" t="str">
        <f>IFERROR(VLOOKUP(Results!$A136,'Columns B to F vlookup table'!$A$4:$I$21,7,FALSE),"")</f>
        <v/>
      </c>
      <c r="E136" s="3" t="str">
        <f>IFERROR(VLOOKUP(Results!$A136,'Columns B to F vlookup table'!$A$4:$I$21,8,FALSE),"")</f>
        <v/>
      </c>
      <c r="F136" s="3" t="str">
        <f>IFERROR(VLOOKUP(Results!$A136,'Columns B to F vlookup table'!$A$4:$I$21,9,FALSE),"")</f>
        <v/>
      </c>
      <c r="AC136" s="2">
        <f t="shared" si="0"/>
        <v>0</v>
      </c>
    </row>
    <row r="137" spans="2:29" x14ac:dyDescent="0.25">
      <c r="B137" s="3" t="str">
        <f>IFERROR(VLOOKUP(Results!$A137,'Columns B to F vlookup table'!$A$4:$I$21,3,FALSE),"")</f>
        <v/>
      </c>
      <c r="C137" s="3" t="str">
        <f>IFERROR(VLOOKUP(Results!$A137,'Columns B to F vlookup table'!$A$4:$I$21,4,FALSE),"")</f>
        <v/>
      </c>
      <c r="D137" s="3" t="str">
        <f>IFERROR(VLOOKUP(Results!$A137,'Columns B to F vlookup table'!$A$4:$I$21,7,FALSE),"")</f>
        <v/>
      </c>
      <c r="E137" s="3" t="str">
        <f>IFERROR(VLOOKUP(Results!$A137,'Columns B to F vlookup table'!$A$4:$I$21,8,FALSE),"")</f>
        <v/>
      </c>
      <c r="F137" s="3" t="str">
        <f>IFERROR(VLOOKUP(Results!$A137,'Columns B to F vlookup table'!$A$4:$I$21,9,FALSE),"")</f>
        <v/>
      </c>
      <c r="AC137" s="2">
        <f t="shared" ref="AC137:AC200" si="1">L137-J137</f>
        <v>0</v>
      </c>
    </row>
    <row r="138" spans="2:29" x14ac:dyDescent="0.25">
      <c r="B138" s="3" t="str">
        <f>IFERROR(VLOOKUP(Results!$A138,'Columns B to F vlookup table'!$A$4:$I$21,3,FALSE),"")</f>
        <v/>
      </c>
      <c r="C138" s="3" t="str">
        <f>IFERROR(VLOOKUP(Results!$A138,'Columns B to F vlookup table'!$A$4:$I$21,4,FALSE),"")</f>
        <v/>
      </c>
      <c r="D138" s="3" t="str">
        <f>IFERROR(VLOOKUP(Results!$A138,'Columns B to F vlookup table'!$A$4:$I$21,7,FALSE),"")</f>
        <v/>
      </c>
      <c r="E138" s="3" t="str">
        <f>IFERROR(VLOOKUP(Results!$A138,'Columns B to F vlookup table'!$A$4:$I$21,8,FALSE),"")</f>
        <v/>
      </c>
      <c r="F138" s="3" t="str">
        <f>IFERROR(VLOOKUP(Results!$A138,'Columns B to F vlookup table'!$A$4:$I$21,9,FALSE),"")</f>
        <v/>
      </c>
      <c r="AC138" s="2">
        <f t="shared" si="1"/>
        <v>0</v>
      </c>
    </row>
    <row r="139" spans="2:29" x14ac:dyDescent="0.25">
      <c r="B139" s="3" t="str">
        <f>IFERROR(VLOOKUP(Results!$A139,'Columns B to F vlookup table'!$A$4:$I$21,3,FALSE),"")</f>
        <v/>
      </c>
      <c r="C139" s="3" t="str">
        <f>IFERROR(VLOOKUP(Results!$A139,'Columns B to F vlookup table'!$A$4:$I$21,4,FALSE),"")</f>
        <v/>
      </c>
      <c r="D139" s="3" t="str">
        <f>IFERROR(VLOOKUP(Results!$A139,'Columns B to F vlookup table'!$A$4:$I$21,7,FALSE),"")</f>
        <v/>
      </c>
      <c r="E139" s="3" t="str">
        <f>IFERROR(VLOOKUP(Results!$A139,'Columns B to F vlookup table'!$A$4:$I$21,8,FALSE),"")</f>
        <v/>
      </c>
      <c r="F139" s="3" t="str">
        <f>IFERROR(VLOOKUP(Results!$A139,'Columns B to F vlookup table'!$A$4:$I$21,9,FALSE),"")</f>
        <v/>
      </c>
      <c r="AC139" s="2">
        <f t="shared" si="1"/>
        <v>0</v>
      </c>
    </row>
    <row r="140" spans="2:29" x14ac:dyDescent="0.25">
      <c r="B140" s="3" t="str">
        <f>IFERROR(VLOOKUP(Results!$A140,'Columns B to F vlookup table'!$A$4:$I$21,3,FALSE),"")</f>
        <v/>
      </c>
      <c r="C140" s="3" t="str">
        <f>IFERROR(VLOOKUP(Results!$A140,'Columns B to F vlookup table'!$A$4:$I$21,4,FALSE),"")</f>
        <v/>
      </c>
      <c r="D140" s="3" t="str">
        <f>IFERROR(VLOOKUP(Results!$A140,'Columns B to F vlookup table'!$A$4:$I$21,7,FALSE),"")</f>
        <v/>
      </c>
      <c r="E140" s="3" t="str">
        <f>IFERROR(VLOOKUP(Results!$A140,'Columns B to F vlookup table'!$A$4:$I$21,8,FALSE),"")</f>
        <v/>
      </c>
      <c r="F140" s="3" t="str">
        <f>IFERROR(VLOOKUP(Results!$A140,'Columns B to F vlookup table'!$A$4:$I$21,9,FALSE),"")</f>
        <v/>
      </c>
      <c r="AC140" s="2">
        <f t="shared" si="1"/>
        <v>0</v>
      </c>
    </row>
    <row r="141" spans="2:29" x14ac:dyDescent="0.25">
      <c r="B141" s="3" t="str">
        <f>IFERROR(VLOOKUP(Results!$A141,'Columns B to F vlookup table'!$A$4:$I$21,3,FALSE),"")</f>
        <v/>
      </c>
      <c r="C141" s="3" t="str">
        <f>IFERROR(VLOOKUP(Results!$A141,'Columns B to F vlookup table'!$A$4:$I$21,4,FALSE),"")</f>
        <v/>
      </c>
      <c r="D141" s="3" t="str">
        <f>IFERROR(VLOOKUP(Results!$A141,'Columns B to F vlookup table'!$A$4:$I$21,7,FALSE),"")</f>
        <v/>
      </c>
      <c r="E141" s="3" t="str">
        <f>IFERROR(VLOOKUP(Results!$A141,'Columns B to F vlookup table'!$A$4:$I$21,8,FALSE),"")</f>
        <v/>
      </c>
      <c r="F141" s="3" t="str">
        <f>IFERROR(VLOOKUP(Results!$A141,'Columns B to F vlookup table'!$A$4:$I$21,9,FALSE),"")</f>
        <v/>
      </c>
      <c r="AC141" s="2">
        <f t="shared" si="1"/>
        <v>0</v>
      </c>
    </row>
    <row r="142" spans="2:29" x14ac:dyDescent="0.25">
      <c r="B142" s="3" t="str">
        <f>IFERROR(VLOOKUP(Results!$A142,'Columns B to F vlookup table'!$A$4:$I$21,3,FALSE),"")</f>
        <v/>
      </c>
      <c r="C142" s="3" t="str">
        <f>IFERROR(VLOOKUP(Results!$A142,'Columns B to F vlookup table'!$A$4:$I$21,4,FALSE),"")</f>
        <v/>
      </c>
      <c r="D142" s="3" t="str">
        <f>IFERROR(VLOOKUP(Results!$A142,'Columns B to F vlookup table'!$A$4:$I$21,7,FALSE),"")</f>
        <v/>
      </c>
      <c r="E142" s="3" t="str">
        <f>IFERROR(VLOOKUP(Results!$A142,'Columns B to F vlookup table'!$A$4:$I$21,8,FALSE),"")</f>
        <v/>
      </c>
      <c r="F142" s="3" t="str">
        <f>IFERROR(VLOOKUP(Results!$A142,'Columns B to F vlookup table'!$A$4:$I$21,9,FALSE),"")</f>
        <v/>
      </c>
      <c r="AC142" s="2">
        <f t="shared" si="1"/>
        <v>0</v>
      </c>
    </row>
    <row r="143" spans="2:29" x14ac:dyDescent="0.25">
      <c r="B143" s="3" t="str">
        <f>IFERROR(VLOOKUP(Results!$A143,'Columns B to F vlookup table'!$A$4:$I$21,3,FALSE),"")</f>
        <v/>
      </c>
      <c r="C143" s="3" t="str">
        <f>IFERROR(VLOOKUP(Results!$A143,'Columns B to F vlookup table'!$A$4:$I$21,4,FALSE),"")</f>
        <v/>
      </c>
      <c r="D143" s="3" t="str">
        <f>IFERROR(VLOOKUP(Results!$A143,'Columns B to F vlookup table'!$A$4:$I$21,7,FALSE),"")</f>
        <v/>
      </c>
      <c r="E143" s="3" t="str">
        <f>IFERROR(VLOOKUP(Results!$A143,'Columns B to F vlookup table'!$A$4:$I$21,8,FALSE),"")</f>
        <v/>
      </c>
      <c r="F143" s="3" t="str">
        <f>IFERROR(VLOOKUP(Results!$A143,'Columns B to F vlookup table'!$A$4:$I$21,9,FALSE),"")</f>
        <v/>
      </c>
      <c r="AC143" s="2">
        <f t="shared" si="1"/>
        <v>0</v>
      </c>
    </row>
    <row r="144" spans="2:29" x14ac:dyDescent="0.25">
      <c r="B144" s="3" t="str">
        <f>IFERROR(VLOOKUP(Results!$A144,'Columns B to F vlookup table'!$A$4:$I$21,3,FALSE),"")</f>
        <v/>
      </c>
      <c r="C144" s="3" t="str">
        <f>IFERROR(VLOOKUP(Results!$A144,'Columns B to F vlookup table'!$A$4:$I$21,4,FALSE),"")</f>
        <v/>
      </c>
      <c r="D144" s="3" t="str">
        <f>IFERROR(VLOOKUP(Results!$A144,'Columns B to F vlookup table'!$A$4:$I$21,7,FALSE),"")</f>
        <v/>
      </c>
      <c r="E144" s="3" t="str">
        <f>IFERROR(VLOOKUP(Results!$A144,'Columns B to F vlookup table'!$A$4:$I$21,8,FALSE),"")</f>
        <v/>
      </c>
      <c r="F144" s="3" t="str">
        <f>IFERROR(VLOOKUP(Results!$A144,'Columns B to F vlookup table'!$A$4:$I$21,9,FALSE),"")</f>
        <v/>
      </c>
      <c r="AC144" s="2">
        <f t="shared" si="1"/>
        <v>0</v>
      </c>
    </row>
    <row r="145" spans="2:29" x14ac:dyDescent="0.25">
      <c r="B145" s="3" t="str">
        <f>IFERROR(VLOOKUP(Results!$A145,'Columns B to F vlookup table'!$A$4:$I$21,3,FALSE),"")</f>
        <v/>
      </c>
      <c r="C145" s="3" t="str">
        <f>IFERROR(VLOOKUP(Results!$A145,'Columns B to F vlookup table'!$A$4:$I$21,4,FALSE),"")</f>
        <v/>
      </c>
      <c r="D145" s="3" t="str">
        <f>IFERROR(VLOOKUP(Results!$A145,'Columns B to F vlookup table'!$A$4:$I$21,7,FALSE),"")</f>
        <v/>
      </c>
      <c r="E145" s="3" t="str">
        <f>IFERROR(VLOOKUP(Results!$A145,'Columns B to F vlookup table'!$A$4:$I$21,8,FALSE),"")</f>
        <v/>
      </c>
      <c r="F145" s="3" t="str">
        <f>IFERROR(VLOOKUP(Results!$A145,'Columns B to F vlookup table'!$A$4:$I$21,9,FALSE),"")</f>
        <v/>
      </c>
      <c r="AC145" s="2">
        <f t="shared" si="1"/>
        <v>0</v>
      </c>
    </row>
    <row r="146" spans="2:29" x14ac:dyDescent="0.25">
      <c r="B146" s="3" t="str">
        <f>IFERROR(VLOOKUP(Results!$A146,'Columns B to F vlookup table'!$A$4:$I$21,3,FALSE),"")</f>
        <v/>
      </c>
      <c r="C146" s="3" t="str">
        <f>IFERROR(VLOOKUP(Results!$A146,'Columns B to F vlookup table'!$A$4:$I$21,4,FALSE),"")</f>
        <v/>
      </c>
      <c r="D146" s="3" t="str">
        <f>IFERROR(VLOOKUP(Results!$A146,'Columns B to F vlookup table'!$A$4:$I$21,7,FALSE),"")</f>
        <v/>
      </c>
      <c r="E146" s="3" t="str">
        <f>IFERROR(VLOOKUP(Results!$A146,'Columns B to F vlookup table'!$A$4:$I$21,8,FALSE),"")</f>
        <v/>
      </c>
      <c r="F146" s="3" t="str">
        <f>IFERROR(VLOOKUP(Results!$A146,'Columns B to F vlookup table'!$A$4:$I$21,9,FALSE),"")</f>
        <v/>
      </c>
      <c r="AC146" s="2">
        <f t="shared" si="1"/>
        <v>0</v>
      </c>
    </row>
    <row r="147" spans="2:29" x14ac:dyDescent="0.25">
      <c r="B147" s="3" t="str">
        <f>IFERROR(VLOOKUP(Results!$A147,'Columns B to F vlookup table'!$A$4:$I$21,3,FALSE),"")</f>
        <v/>
      </c>
      <c r="C147" s="3" t="str">
        <f>IFERROR(VLOOKUP(Results!$A147,'Columns B to F vlookup table'!$A$4:$I$21,4,FALSE),"")</f>
        <v/>
      </c>
      <c r="D147" s="3" t="str">
        <f>IFERROR(VLOOKUP(Results!$A147,'Columns B to F vlookup table'!$A$4:$I$21,7,FALSE),"")</f>
        <v/>
      </c>
      <c r="E147" s="3" t="str">
        <f>IFERROR(VLOOKUP(Results!$A147,'Columns B to F vlookup table'!$A$4:$I$21,8,FALSE),"")</f>
        <v/>
      </c>
      <c r="F147" s="3" t="str">
        <f>IFERROR(VLOOKUP(Results!$A147,'Columns B to F vlookup table'!$A$4:$I$21,9,FALSE),"")</f>
        <v/>
      </c>
      <c r="AC147" s="2">
        <f t="shared" si="1"/>
        <v>0</v>
      </c>
    </row>
    <row r="148" spans="2:29" x14ac:dyDescent="0.25">
      <c r="B148" s="3" t="str">
        <f>IFERROR(VLOOKUP(Results!$A148,'Columns B to F vlookup table'!$A$4:$I$21,3,FALSE),"")</f>
        <v/>
      </c>
      <c r="C148" s="3" t="str">
        <f>IFERROR(VLOOKUP(Results!$A148,'Columns B to F vlookup table'!$A$4:$I$21,4,FALSE),"")</f>
        <v/>
      </c>
      <c r="D148" s="3" t="str">
        <f>IFERROR(VLOOKUP(Results!$A148,'Columns B to F vlookup table'!$A$4:$I$21,7,FALSE),"")</f>
        <v/>
      </c>
      <c r="E148" s="3" t="str">
        <f>IFERROR(VLOOKUP(Results!$A148,'Columns B to F vlookup table'!$A$4:$I$21,8,FALSE),"")</f>
        <v/>
      </c>
      <c r="F148" s="3" t="str">
        <f>IFERROR(VLOOKUP(Results!$A148,'Columns B to F vlookup table'!$A$4:$I$21,9,FALSE),"")</f>
        <v/>
      </c>
      <c r="AC148" s="2">
        <f t="shared" si="1"/>
        <v>0</v>
      </c>
    </row>
    <row r="149" spans="2:29" x14ac:dyDescent="0.25">
      <c r="B149" s="3" t="str">
        <f>IFERROR(VLOOKUP(Results!$A149,'Columns B to F vlookup table'!$A$4:$I$21,3,FALSE),"")</f>
        <v/>
      </c>
      <c r="C149" s="3" t="str">
        <f>IFERROR(VLOOKUP(Results!$A149,'Columns B to F vlookup table'!$A$4:$I$21,4,FALSE),"")</f>
        <v/>
      </c>
      <c r="D149" s="3" t="str">
        <f>IFERROR(VLOOKUP(Results!$A149,'Columns B to F vlookup table'!$A$4:$I$21,7,FALSE),"")</f>
        <v/>
      </c>
      <c r="E149" s="3" t="str">
        <f>IFERROR(VLOOKUP(Results!$A149,'Columns B to F vlookup table'!$A$4:$I$21,8,FALSE),"")</f>
        <v/>
      </c>
      <c r="F149" s="3" t="str">
        <f>IFERROR(VLOOKUP(Results!$A149,'Columns B to F vlookup table'!$A$4:$I$21,9,FALSE),"")</f>
        <v/>
      </c>
      <c r="AC149" s="2">
        <f t="shared" si="1"/>
        <v>0</v>
      </c>
    </row>
    <row r="150" spans="2:29" x14ac:dyDescent="0.25">
      <c r="B150" s="3" t="str">
        <f>IFERROR(VLOOKUP(Results!$A150,'Columns B to F vlookup table'!$A$4:$I$21,3,FALSE),"")</f>
        <v/>
      </c>
      <c r="C150" s="3" t="str">
        <f>IFERROR(VLOOKUP(Results!$A150,'Columns B to F vlookup table'!$A$4:$I$21,4,FALSE),"")</f>
        <v/>
      </c>
      <c r="D150" s="3" t="str">
        <f>IFERROR(VLOOKUP(Results!$A150,'Columns B to F vlookup table'!$A$4:$I$21,7,FALSE),"")</f>
        <v/>
      </c>
      <c r="E150" s="3" t="str">
        <f>IFERROR(VLOOKUP(Results!$A150,'Columns B to F vlookup table'!$A$4:$I$21,8,FALSE),"")</f>
        <v/>
      </c>
      <c r="F150" s="3" t="str">
        <f>IFERROR(VLOOKUP(Results!$A150,'Columns B to F vlookup table'!$A$4:$I$21,9,FALSE),"")</f>
        <v/>
      </c>
      <c r="AC150" s="2">
        <f t="shared" si="1"/>
        <v>0</v>
      </c>
    </row>
    <row r="151" spans="2:29" x14ac:dyDescent="0.25">
      <c r="B151" s="3" t="str">
        <f>IFERROR(VLOOKUP(Results!$A151,'Columns B to F vlookup table'!$A$4:$I$21,3,FALSE),"")</f>
        <v/>
      </c>
      <c r="C151" s="3" t="str">
        <f>IFERROR(VLOOKUP(Results!$A151,'Columns B to F vlookup table'!$A$4:$I$21,4,FALSE),"")</f>
        <v/>
      </c>
      <c r="D151" s="3" t="str">
        <f>IFERROR(VLOOKUP(Results!$A151,'Columns B to F vlookup table'!$A$4:$I$21,7,FALSE),"")</f>
        <v/>
      </c>
      <c r="E151" s="3" t="str">
        <f>IFERROR(VLOOKUP(Results!$A151,'Columns B to F vlookup table'!$A$4:$I$21,8,FALSE),"")</f>
        <v/>
      </c>
      <c r="F151" s="3" t="str">
        <f>IFERROR(VLOOKUP(Results!$A151,'Columns B to F vlookup table'!$A$4:$I$21,9,FALSE),"")</f>
        <v/>
      </c>
      <c r="AC151" s="2">
        <f t="shared" si="1"/>
        <v>0</v>
      </c>
    </row>
    <row r="152" spans="2:29" x14ac:dyDescent="0.25">
      <c r="B152" s="3" t="str">
        <f>IFERROR(VLOOKUP(Results!$A152,'Columns B to F vlookup table'!$A$4:$I$21,3,FALSE),"")</f>
        <v/>
      </c>
      <c r="C152" s="3" t="str">
        <f>IFERROR(VLOOKUP(Results!$A152,'Columns B to F vlookup table'!$A$4:$I$21,4,FALSE),"")</f>
        <v/>
      </c>
      <c r="D152" s="3" t="str">
        <f>IFERROR(VLOOKUP(Results!$A152,'Columns B to F vlookup table'!$A$4:$I$21,7,FALSE),"")</f>
        <v/>
      </c>
      <c r="E152" s="3" t="str">
        <f>IFERROR(VLOOKUP(Results!$A152,'Columns B to F vlookup table'!$A$4:$I$21,8,FALSE),"")</f>
        <v/>
      </c>
      <c r="F152" s="3" t="str">
        <f>IFERROR(VLOOKUP(Results!$A152,'Columns B to F vlookup table'!$A$4:$I$21,9,FALSE),"")</f>
        <v/>
      </c>
      <c r="AC152" s="2">
        <f t="shared" si="1"/>
        <v>0</v>
      </c>
    </row>
    <row r="153" spans="2:29" x14ac:dyDescent="0.25">
      <c r="B153" s="3" t="str">
        <f>IFERROR(VLOOKUP(Results!$A153,'Columns B to F vlookup table'!$A$4:$I$21,3,FALSE),"")</f>
        <v/>
      </c>
      <c r="C153" s="3" t="str">
        <f>IFERROR(VLOOKUP(Results!$A153,'Columns B to F vlookup table'!$A$4:$I$21,4,FALSE),"")</f>
        <v/>
      </c>
      <c r="D153" s="3" t="str">
        <f>IFERROR(VLOOKUP(Results!$A153,'Columns B to F vlookup table'!$A$4:$I$21,7,FALSE),"")</f>
        <v/>
      </c>
      <c r="E153" s="3" t="str">
        <f>IFERROR(VLOOKUP(Results!$A153,'Columns B to F vlookup table'!$A$4:$I$21,8,FALSE),"")</f>
        <v/>
      </c>
      <c r="F153" s="3" t="str">
        <f>IFERROR(VLOOKUP(Results!$A153,'Columns B to F vlookup table'!$A$4:$I$21,9,FALSE),"")</f>
        <v/>
      </c>
      <c r="AC153" s="2">
        <f t="shared" si="1"/>
        <v>0</v>
      </c>
    </row>
    <row r="154" spans="2:29" x14ac:dyDescent="0.25">
      <c r="B154" s="3" t="str">
        <f>IFERROR(VLOOKUP(Results!$A154,'Columns B to F vlookup table'!$A$4:$I$21,3,FALSE),"")</f>
        <v/>
      </c>
      <c r="C154" s="3" t="str">
        <f>IFERROR(VLOOKUP(Results!$A154,'Columns B to F vlookup table'!$A$4:$I$21,4,FALSE),"")</f>
        <v/>
      </c>
      <c r="D154" s="3" t="str">
        <f>IFERROR(VLOOKUP(Results!$A154,'Columns B to F vlookup table'!$A$4:$I$21,7,FALSE),"")</f>
        <v/>
      </c>
      <c r="E154" s="3" t="str">
        <f>IFERROR(VLOOKUP(Results!$A154,'Columns B to F vlookup table'!$A$4:$I$21,8,FALSE),"")</f>
        <v/>
      </c>
      <c r="F154" s="3" t="str">
        <f>IFERROR(VLOOKUP(Results!$A154,'Columns B to F vlookup table'!$A$4:$I$21,9,FALSE),"")</f>
        <v/>
      </c>
      <c r="AC154" s="2">
        <f t="shared" si="1"/>
        <v>0</v>
      </c>
    </row>
    <row r="155" spans="2:29" x14ac:dyDescent="0.25">
      <c r="B155" s="3" t="str">
        <f>IFERROR(VLOOKUP(Results!$A155,'Columns B to F vlookup table'!$A$4:$I$21,3,FALSE),"")</f>
        <v/>
      </c>
      <c r="C155" s="3" t="str">
        <f>IFERROR(VLOOKUP(Results!$A155,'Columns B to F vlookup table'!$A$4:$I$21,4,FALSE),"")</f>
        <v/>
      </c>
      <c r="D155" s="3" t="str">
        <f>IFERROR(VLOOKUP(Results!$A155,'Columns B to F vlookup table'!$A$4:$I$21,7,FALSE),"")</f>
        <v/>
      </c>
      <c r="E155" s="3" t="str">
        <f>IFERROR(VLOOKUP(Results!$A155,'Columns B to F vlookup table'!$A$4:$I$21,8,FALSE),"")</f>
        <v/>
      </c>
      <c r="F155" s="3" t="str">
        <f>IFERROR(VLOOKUP(Results!$A155,'Columns B to F vlookup table'!$A$4:$I$21,9,FALSE),"")</f>
        <v/>
      </c>
      <c r="AC155" s="2">
        <f t="shared" si="1"/>
        <v>0</v>
      </c>
    </row>
    <row r="156" spans="2:29" x14ac:dyDescent="0.25">
      <c r="B156" s="3" t="str">
        <f>IFERROR(VLOOKUP(Results!$A156,'Columns B to F vlookup table'!$A$4:$I$21,3,FALSE),"")</f>
        <v/>
      </c>
      <c r="C156" s="3" t="str">
        <f>IFERROR(VLOOKUP(Results!$A156,'Columns B to F vlookup table'!$A$4:$I$21,4,FALSE),"")</f>
        <v/>
      </c>
      <c r="D156" s="3" t="str">
        <f>IFERROR(VLOOKUP(Results!$A156,'Columns B to F vlookup table'!$A$4:$I$21,7,FALSE),"")</f>
        <v/>
      </c>
      <c r="E156" s="3" t="str">
        <f>IFERROR(VLOOKUP(Results!$A156,'Columns B to F vlookup table'!$A$4:$I$21,8,FALSE),"")</f>
        <v/>
      </c>
      <c r="F156" s="3" t="str">
        <f>IFERROR(VLOOKUP(Results!$A156,'Columns B to F vlookup table'!$A$4:$I$21,9,FALSE),"")</f>
        <v/>
      </c>
      <c r="AC156" s="2">
        <f t="shared" si="1"/>
        <v>0</v>
      </c>
    </row>
    <row r="157" spans="2:29" x14ac:dyDescent="0.25">
      <c r="B157" s="3" t="str">
        <f>IFERROR(VLOOKUP(Results!$A157,'Columns B to F vlookup table'!$A$4:$I$21,3,FALSE),"")</f>
        <v/>
      </c>
      <c r="C157" s="3" t="str">
        <f>IFERROR(VLOOKUP(Results!$A157,'Columns B to F vlookup table'!$A$4:$I$21,4,FALSE),"")</f>
        <v/>
      </c>
      <c r="D157" s="3" t="str">
        <f>IFERROR(VLOOKUP(Results!$A157,'Columns B to F vlookup table'!$A$4:$I$21,7,FALSE),"")</f>
        <v/>
      </c>
      <c r="E157" s="3" t="str">
        <f>IFERROR(VLOOKUP(Results!$A157,'Columns B to F vlookup table'!$A$4:$I$21,8,FALSE),"")</f>
        <v/>
      </c>
      <c r="F157" s="3" t="str">
        <f>IFERROR(VLOOKUP(Results!$A157,'Columns B to F vlookup table'!$A$4:$I$21,9,FALSE),"")</f>
        <v/>
      </c>
      <c r="AC157" s="2">
        <f t="shared" si="1"/>
        <v>0</v>
      </c>
    </row>
    <row r="158" spans="2:29" x14ac:dyDescent="0.25">
      <c r="B158" s="3" t="str">
        <f>IFERROR(VLOOKUP(Results!$A158,'Columns B to F vlookup table'!$A$4:$I$21,3,FALSE),"")</f>
        <v/>
      </c>
      <c r="C158" s="3" t="str">
        <f>IFERROR(VLOOKUP(Results!$A158,'Columns B to F vlookup table'!$A$4:$I$21,4,FALSE),"")</f>
        <v/>
      </c>
      <c r="D158" s="3" t="str">
        <f>IFERROR(VLOOKUP(Results!$A158,'Columns B to F vlookup table'!$A$4:$I$21,7,FALSE),"")</f>
        <v/>
      </c>
      <c r="E158" s="3" t="str">
        <f>IFERROR(VLOOKUP(Results!$A158,'Columns B to F vlookup table'!$A$4:$I$21,8,FALSE),"")</f>
        <v/>
      </c>
      <c r="F158" s="3" t="str">
        <f>IFERROR(VLOOKUP(Results!$A158,'Columns B to F vlookup table'!$A$4:$I$21,9,FALSE),"")</f>
        <v/>
      </c>
      <c r="AC158" s="2">
        <f t="shared" si="1"/>
        <v>0</v>
      </c>
    </row>
    <row r="159" spans="2:29" x14ac:dyDescent="0.25">
      <c r="B159" s="3" t="str">
        <f>IFERROR(VLOOKUP(Results!$A159,'Columns B to F vlookup table'!$A$4:$I$21,3,FALSE),"")</f>
        <v/>
      </c>
      <c r="C159" s="3" t="str">
        <f>IFERROR(VLOOKUP(Results!$A159,'Columns B to F vlookup table'!$A$4:$I$21,4,FALSE),"")</f>
        <v/>
      </c>
      <c r="D159" s="3" t="str">
        <f>IFERROR(VLOOKUP(Results!$A159,'Columns B to F vlookup table'!$A$4:$I$21,7,FALSE),"")</f>
        <v/>
      </c>
      <c r="E159" s="3" t="str">
        <f>IFERROR(VLOOKUP(Results!$A159,'Columns B to F vlookup table'!$A$4:$I$21,8,FALSE),"")</f>
        <v/>
      </c>
      <c r="F159" s="3" t="str">
        <f>IFERROR(VLOOKUP(Results!$A159,'Columns B to F vlookup table'!$A$4:$I$21,9,FALSE),"")</f>
        <v/>
      </c>
      <c r="AC159" s="2">
        <f t="shared" si="1"/>
        <v>0</v>
      </c>
    </row>
    <row r="160" spans="2:29" x14ac:dyDescent="0.25">
      <c r="B160" s="3" t="str">
        <f>IFERROR(VLOOKUP(Results!$A160,'Columns B to F vlookup table'!$A$4:$I$21,3,FALSE),"")</f>
        <v/>
      </c>
      <c r="C160" s="3" t="str">
        <f>IFERROR(VLOOKUP(Results!$A160,'Columns B to F vlookup table'!$A$4:$I$21,4,FALSE),"")</f>
        <v/>
      </c>
      <c r="D160" s="3" t="str">
        <f>IFERROR(VLOOKUP(Results!$A160,'Columns B to F vlookup table'!$A$4:$I$21,7,FALSE),"")</f>
        <v/>
      </c>
      <c r="E160" s="3" t="str">
        <f>IFERROR(VLOOKUP(Results!$A160,'Columns B to F vlookup table'!$A$4:$I$21,8,FALSE),"")</f>
        <v/>
      </c>
      <c r="F160" s="3" t="str">
        <f>IFERROR(VLOOKUP(Results!$A160,'Columns B to F vlookup table'!$A$4:$I$21,9,FALSE),"")</f>
        <v/>
      </c>
      <c r="AC160" s="2">
        <f t="shared" si="1"/>
        <v>0</v>
      </c>
    </row>
    <row r="161" spans="2:29" x14ac:dyDescent="0.25">
      <c r="B161" s="3" t="str">
        <f>IFERROR(VLOOKUP(Results!$A161,'Columns B to F vlookup table'!$A$4:$I$21,3,FALSE),"")</f>
        <v/>
      </c>
      <c r="C161" s="3" t="str">
        <f>IFERROR(VLOOKUP(Results!$A161,'Columns B to F vlookup table'!$A$4:$I$21,4,FALSE),"")</f>
        <v/>
      </c>
      <c r="D161" s="3" t="str">
        <f>IFERROR(VLOOKUP(Results!$A161,'Columns B to F vlookup table'!$A$4:$I$21,7,FALSE),"")</f>
        <v/>
      </c>
      <c r="E161" s="3" t="str">
        <f>IFERROR(VLOOKUP(Results!$A161,'Columns B to F vlookup table'!$A$4:$I$21,8,FALSE),"")</f>
        <v/>
      </c>
      <c r="F161" s="3" t="str">
        <f>IFERROR(VLOOKUP(Results!$A161,'Columns B to F vlookup table'!$A$4:$I$21,9,FALSE),"")</f>
        <v/>
      </c>
      <c r="AC161" s="2">
        <f t="shared" si="1"/>
        <v>0</v>
      </c>
    </row>
    <row r="162" spans="2:29" x14ac:dyDescent="0.25">
      <c r="B162" s="3" t="str">
        <f>IFERROR(VLOOKUP(Results!$A162,'Columns B to F vlookup table'!$A$4:$I$21,3,FALSE),"")</f>
        <v/>
      </c>
      <c r="C162" s="3" t="str">
        <f>IFERROR(VLOOKUP(Results!$A162,'Columns B to F vlookup table'!$A$4:$I$21,4,FALSE),"")</f>
        <v/>
      </c>
      <c r="D162" s="3" t="str">
        <f>IFERROR(VLOOKUP(Results!$A162,'Columns B to F vlookup table'!$A$4:$I$21,7,FALSE),"")</f>
        <v/>
      </c>
      <c r="E162" s="3" t="str">
        <f>IFERROR(VLOOKUP(Results!$A162,'Columns B to F vlookup table'!$A$4:$I$21,8,FALSE),"")</f>
        <v/>
      </c>
      <c r="F162" s="3" t="str">
        <f>IFERROR(VLOOKUP(Results!$A162,'Columns B to F vlookup table'!$A$4:$I$21,9,FALSE),"")</f>
        <v/>
      </c>
      <c r="AC162" s="2">
        <f t="shared" si="1"/>
        <v>0</v>
      </c>
    </row>
    <row r="163" spans="2:29" x14ac:dyDescent="0.25">
      <c r="B163" s="3" t="str">
        <f>IFERROR(VLOOKUP(Results!$A163,'Columns B to F vlookup table'!$A$4:$I$21,3,FALSE),"")</f>
        <v/>
      </c>
      <c r="C163" s="3" t="str">
        <f>IFERROR(VLOOKUP(Results!$A163,'Columns B to F vlookup table'!$A$4:$I$21,4,FALSE),"")</f>
        <v/>
      </c>
      <c r="D163" s="3" t="str">
        <f>IFERROR(VLOOKUP(Results!$A163,'Columns B to F vlookup table'!$A$4:$I$21,7,FALSE),"")</f>
        <v/>
      </c>
      <c r="E163" s="3" t="str">
        <f>IFERROR(VLOOKUP(Results!$A163,'Columns B to F vlookup table'!$A$4:$I$21,8,FALSE),"")</f>
        <v/>
      </c>
      <c r="F163" s="3" t="str">
        <f>IFERROR(VLOOKUP(Results!$A163,'Columns B to F vlookup table'!$A$4:$I$21,9,FALSE),"")</f>
        <v/>
      </c>
      <c r="AC163" s="2">
        <f t="shared" si="1"/>
        <v>0</v>
      </c>
    </row>
    <row r="164" spans="2:29" x14ac:dyDescent="0.25">
      <c r="B164" s="3" t="str">
        <f>IFERROR(VLOOKUP(Results!$A164,'Columns B to F vlookup table'!$A$4:$I$21,3,FALSE),"")</f>
        <v/>
      </c>
      <c r="C164" s="3" t="str">
        <f>IFERROR(VLOOKUP(Results!$A164,'Columns B to F vlookup table'!$A$4:$I$21,4,FALSE),"")</f>
        <v/>
      </c>
      <c r="D164" s="3" t="str">
        <f>IFERROR(VLOOKUP(Results!$A164,'Columns B to F vlookup table'!$A$4:$I$21,7,FALSE),"")</f>
        <v/>
      </c>
      <c r="E164" s="3" t="str">
        <f>IFERROR(VLOOKUP(Results!$A164,'Columns B to F vlookup table'!$A$4:$I$21,8,FALSE),"")</f>
        <v/>
      </c>
      <c r="F164" s="3" t="str">
        <f>IFERROR(VLOOKUP(Results!$A164,'Columns B to F vlookup table'!$A$4:$I$21,9,FALSE),"")</f>
        <v/>
      </c>
      <c r="AC164" s="2">
        <f t="shared" si="1"/>
        <v>0</v>
      </c>
    </row>
    <row r="165" spans="2:29" x14ac:dyDescent="0.25">
      <c r="B165" s="3" t="str">
        <f>IFERROR(VLOOKUP(Results!$A165,'Columns B to F vlookup table'!$A$4:$I$21,3,FALSE),"")</f>
        <v/>
      </c>
      <c r="C165" s="3" t="str">
        <f>IFERROR(VLOOKUP(Results!$A165,'Columns B to F vlookup table'!$A$4:$I$21,4,FALSE),"")</f>
        <v/>
      </c>
      <c r="D165" s="3" t="str">
        <f>IFERROR(VLOOKUP(Results!$A165,'Columns B to F vlookup table'!$A$4:$I$21,7,FALSE),"")</f>
        <v/>
      </c>
      <c r="E165" s="3" t="str">
        <f>IFERROR(VLOOKUP(Results!$A165,'Columns B to F vlookup table'!$A$4:$I$21,8,FALSE),"")</f>
        <v/>
      </c>
      <c r="F165" s="3" t="str">
        <f>IFERROR(VLOOKUP(Results!$A165,'Columns B to F vlookup table'!$A$4:$I$21,9,FALSE),"")</f>
        <v/>
      </c>
      <c r="AC165" s="2">
        <f t="shared" si="1"/>
        <v>0</v>
      </c>
    </row>
    <row r="166" spans="2:29" x14ac:dyDescent="0.25">
      <c r="B166" s="3" t="str">
        <f>IFERROR(VLOOKUP(Results!$A166,'Columns B to F vlookup table'!$A$4:$I$21,3,FALSE),"")</f>
        <v/>
      </c>
      <c r="C166" s="3" t="str">
        <f>IFERROR(VLOOKUP(Results!$A166,'Columns B to F vlookup table'!$A$4:$I$21,4,FALSE),"")</f>
        <v/>
      </c>
      <c r="D166" s="3" t="str">
        <f>IFERROR(VLOOKUP(Results!$A166,'Columns B to F vlookup table'!$A$4:$I$21,7,FALSE),"")</f>
        <v/>
      </c>
      <c r="E166" s="3" t="str">
        <f>IFERROR(VLOOKUP(Results!$A166,'Columns B to F vlookup table'!$A$4:$I$21,8,FALSE),"")</f>
        <v/>
      </c>
      <c r="F166" s="3" t="str">
        <f>IFERROR(VLOOKUP(Results!$A166,'Columns B to F vlookup table'!$A$4:$I$21,9,FALSE),"")</f>
        <v/>
      </c>
      <c r="AC166" s="2">
        <f t="shared" si="1"/>
        <v>0</v>
      </c>
    </row>
    <row r="167" spans="2:29" x14ac:dyDescent="0.25">
      <c r="B167" s="3" t="str">
        <f>IFERROR(VLOOKUP(Results!$A167,'Columns B to F vlookup table'!$A$4:$I$21,3,FALSE),"")</f>
        <v/>
      </c>
      <c r="C167" s="3" t="str">
        <f>IFERROR(VLOOKUP(Results!$A167,'Columns B to F vlookup table'!$A$4:$I$21,4,FALSE),"")</f>
        <v/>
      </c>
      <c r="D167" s="3" t="str">
        <f>IFERROR(VLOOKUP(Results!$A167,'Columns B to F vlookup table'!$A$4:$I$21,7,FALSE),"")</f>
        <v/>
      </c>
      <c r="E167" s="3" t="str">
        <f>IFERROR(VLOOKUP(Results!$A167,'Columns B to F vlookup table'!$A$4:$I$21,8,FALSE),"")</f>
        <v/>
      </c>
      <c r="F167" s="3" t="str">
        <f>IFERROR(VLOOKUP(Results!$A167,'Columns B to F vlookup table'!$A$4:$I$21,9,FALSE),"")</f>
        <v/>
      </c>
      <c r="AC167" s="2">
        <f t="shared" si="1"/>
        <v>0</v>
      </c>
    </row>
    <row r="168" spans="2:29" x14ac:dyDescent="0.25">
      <c r="B168" s="3" t="str">
        <f>IFERROR(VLOOKUP(Results!$A168,'Columns B to F vlookup table'!$A$4:$I$21,3,FALSE),"")</f>
        <v/>
      </c>
      <c r="C168" s="3" t="str">
        <f>IFERROR(VLOOKUP(Results!$A168,'Columns B to F vlookup table'!$A$4:$I$21,4,FALSE),"")</f>
        <v/>
      </c>
      <c r="D168" s="3" t="str">
        <f>IFERROR(VLOOKUP(Results!$A168,'Columns B to F vlookup table'!$A$4:$I$21,7,FALSE),"")</f>
        <v/>
      </c>
      <c r="E168" s="3" t="str">
        <f>IFERROR(VLOOKUP(Results!$A168,'Columns B to F vlookup table'!$A$4:$I$21,8,FALSE),"")</f>
        <v/>
      </c>
      <c r="F168" s="3" t="str">
        <f>IFERROR(VLOOKUP(Results!$A168,'Columns B to F vlookup table'!$A$4:$I$21,9,FALSE),"")</f>
        <v/>
      </c>
      <c r="AC168" s="2">
        <f t="shared" si="1"/>
        <v>0</v>
      </c>
    </row>
    <row r="169" spans="2:29" x14ac:dyDescent="0.25">
      <c r="B169" s="3" t="str">
        <f>IFERROR(VLOOKUP(Results!$A169,'Columns B to F vlookup table'!$A$4:$I$21,3,FALSE),"")</f>
        <v/>
      </c>
      <c r="C169" s="3" t="str">
        <f>IFERROR(VLOOKUP(Results!$A169,'Columns B to F vlookup table'!$A$4:$I$21,4,FALSE),"")</f>
        <v/>
      </c>
      <c r="D169" s="3" t="str">
        <f>IFERROR(VLOOKUP(Results!$A169,'Columns B to F vlookup table'!$A$4:$I$21,7,FALSE),"")</f>
        <v/>
      </c>
      <c r="E169" s="3" t="str">
        <f>IFERROR(VLOOKUP(Results!$A169,'Columns B to F vlookup table'!$A$4:$I$21,8,FALSE),"")</f>
        <v/>
      </c>
      <c r="F169" s="3" t="str">
        <f>IFERROR(VLOOKUP(Results!$A169,'Columns B to F vlookup table'!$A$4:$I$21,9,FALSE),"")</f>
        <v/>
      </c>
      <c r="AC169" s="2">
        <f t="shared" si="1"/>
        <v>0</v>
      </c>
    </row>
    <row r="170" spans="2:29" x14ac:dyDescent="0.25">
      <c r="B170" s="3" t="str">
        <f>IFERROR(VLOOKUP(Results!$A170,'Columns B to F vlookup table'!$A$4:$I$21,3,FALSE),"")</f>
        <v/>
      </c>
      <c r="C170" s="3" t="str">
        <f>IFERROR(VLOOKUP(Results!$A170,'Columns B to F vlookup table'!$A$4:$I$21,4,FALSE),"")</f>
        <v/>
      </c>
      <c r="D170" s="3" t="str">
        <f>IFERROR(VLOOKUP(Results!$A170,'Columns B to F vlookup table'!$A$4:$I$21,7,FALSE),"")</f>
        <v/>
      </c>
      <c r="E170" s="3" t="str">
        <f>IFERROR(VLOOKUP(Results!$A170,'Columns B to F vlookup table'!$A$4:$I$21,8,FALSE),"")</f>
        <v/>
      </c>
      <c r="F170" s="3" t="str">
        <f>IFERROR(VLOOKUP(Results!$A170,'Columns B to F vlookup table'!$A$4:$I$21,9,FALSE),"")</f>
        <v/>
      </c>
      <c r="AC170" s="2">
        <f t="shared" si="1"/>
        <v>0</v>
      </c>
    </row>
    <row r="171" spans="2:29" x14ac:dyDescent="0.25">
      <c r="B171" s="3" t="str">
        <f>IFERROR(VLOOKUP(Results!$A171,'Columns B to F vlookup table'!$A$4:$I$21,3,FALSE),"")</f>
        <v/>
      </c>
      <c r="C171" s="3" t="str">
        <f>IFERROR(VLOOKUP(Results!$A171,'Columns B to F vlookup table'!$A$4:$I$21,4,FALSE),"")</f>
        <v/>
      </c>
      <c r="D171" s="3" t="str">
        <f>IFERROR(VLOOKUP(Results!$A171,'Columns B to F vlookup table'!$A$4:$I$21,7,FALSE),"")</f>
        <v/>
      </c>
      <c r="E171" s="3" t="str">
        <f>IFERROR(VLOOKUP(Results!$A171,'Columns B to F vlookup table'!$A$4:$I$21,8,FALSE),"")</f>
        <v/>
      </c>
      <c r="F171" s="3" t="str">
        <f>IFERROR(VLOOKUP(Results!$A171,'Columns B to F vlookup table'!$A$4:$I$21,9,FALSE),"")</f>
        <v/>
      </c>
      <c r="AC171" s="2">
        <f t="shared" si="1"/>
        <v>0</v>
      </c>
    </row>
    <row r="172" spans="2:29" x14ac:dyDescent="0.25">
      <c r="B172" s="3" t="str">
        <f>IFERROR(VLOOKUP(Results!$A172,'Columns B to F vlookup table'!$A$4:$I$21,3,FALSE),"")</f>
        <v/>
      </c>
      <c r="C172" s="3" t="str">
        <f>IFERROR(VLOOKUP(Results!$A172,'Columns B to F vlookup table'!$A$4:$I$21,4,FALSE),"")</f>
        <v/>
      </c>
      <c r="D172" s="3" t="str">
        <f>IFERROR(VLOOKUP(Results!$A172,'Columns B to F vlookup table'!$A$4:$I$21,7,FALSE),"")</f>
        <v/>
      </c>
      <c r="E172" s="3" t="str">
        <f>IFERROR(VLOOKUP(Results!$A172,'Columns B to F vlookup table'!$A$4:$I$21,8,FALSE),"")</f>
        <v/>
      </c>
      <c r="F172" s="3" t="str">
        <f>IFERROR(VLOOKUP(Results!$A172,'Columns B to F vlookup table'!$A$4:$I$21,9,FALSE),"")</f>
        <v/>
      </c>
      <c r="AC172" s="2">
        <f t="shared" si="1"/>
        <v>0</v>
      </c>
    </row>
    <row r="173" spans="2:29" x14ac:dyDescent="0.25">
      <c r="B173" s="3" t="str">
        <f>IFERROR(VLOOKUP(Results!$A173,'Columns B to F vlookup table'!$A$4:$I$21,3,FALSE),"")</f>
        <v/>
      </c>
      <c r="C173" s="3" t="str">
        <f>IFERROR(VLOOKUP(Results!$A173,'Columns B to F vlookup table'!$A$4:$I$21,4,FALSE),"")</f>
        <v/>
      </c>
      <c r="D173" s="3" t="str">
        <f>IFERROR(VLOOKUP(Results!$A173,'Columns B to F vlookup table'!$A$4:$I$21,7,FALSE),"")</f>
        <v/>
      </c>
      <c r="E173" s="3" t="str">
        <f>IFERROR(VLOOKUP(Results!$A173,'Columns B to F vlookup table'!$A$4:$I$21,8,FALSE),"")</f>
        <v/>
      </c>
      <c r="F173" s="3" t="str">
        <f>IFERROR(VLOOKUP(Results!$A173,'Columns B to F vlookup table'!$A$4:$I$21,9,FALSE),"")</f>
        <v/>
      </c>
      <c r="AC173" s="2">
        <f t="shared" si="1"/>
        <v>0</v>
      </c>
    </row>
    <row r="174" spans="2:29" x14ac:dyDescent="0.25">
      <c r="B174" s="3" t="str">
        <f>IFERROR(VLOOKUP(Results!$A174,'Columns B to F vlookup table'!$A$4:$I$21,3,FALSE),"")</f>
        <v/>
      </c>
      <c r="C174" s="3" t="str">
        <f>IFERROR(VLOOKUP(Results!$A174,'Columns B to F vlookup table'!$A$4:$I$21,4,FALSE),"")</f>
        <v/>
      </c>
      <c r="D174" s="3" t="str">
        <f>IFERROR(VLOOKUP(Results!$A174,'Columns B to F vlookup table'!$A$4:$I$21,7,FALSE),"")</f>
        <v/>
      </c>
      <c r="E174" s="3" t="str">
        <f>IFERROR(VLOOKUP(Results!$A174,'Columns B to F vlookup table'!$A$4:$I$21,8,FALSE),"")</f>
        <v/>
      </c>
      <c r="F174" s="3" t="str">
        <f>IFERROR(VLOOKUP(Results!$A174,'Columns B to F vlookup table'!$A$4:$I$21,9,FALSE),"")</f>
        <v/>
      </c>
      <c r="AC174" s="2">
        <f t="shared" si="1"/>
        <v>0</v>
      </c>
    </row>
    <row r="175" spans="2:29" x14ac:dyDescent="0.25">
      <c r="B175" s="3" t="str">
        <f>IFERROR(VLOOKUP(Results!$A175,'Columns B to F vlookup table'!$A$4:$I$21,3,FALSE),"")</f>
        <v/>
      </c>
      <c r="C175" s="3" t="str">
        <f>IFERROR(VLOOKUP(Results!$A175,'Columns B to F vlookup table'!$A$4:$I$21,4,FALSE),"")</f>
        <v/>
      </c>
      <c r="D175" s="3" t="str">
        <f>IFERROR(VLOOKUP(Results!$A175,'Columns B to F vlookup table'!$A$4:$I$21,7,FALSE),"")</f>
        <v/>
      </c>
      <c r="E175" s="3" t="str">
        <f>IFERROR(VLOOKUP(Results!$A175,'Columns B to F vlookup table'!$A$4:$I$21,8,FALSE),"")</f>
        <v/>
      </c>
      <c r="F175" s="3" t="str">
        <f>IFERROR(VLOOKUP(Results!$A175,'Columns B to F vlookup table'!$A$4:$I$21,9,FALSE),"")</f>
        <v/>
      </c>
      <c r="AC175" s="2">
        <f t="shared" si="1"/>
        <v>0</v>
      </c>
    </row>
    <row r="176" spans="2:29" x14ac:dyDescent="0.25">
      <c r="B176" s="3" t="str">
        <f>IFERROR(VLOOKUP(Results!$A176,'Columns B to F vlookup table'!$A$4:$I$21,3,FALSE),"")</f>
        <v/>
      </c>
      <c r="C176" s="3" t="str">
        <f>IFERROR(VLOOKUP(Results!$A176,'Columns B to F vlookup table'!$A$4:$I$21,4,FALSE),"")</f>
        <v/>
      </c>
      <c r="D176" s="3" t="str">
        <f>IFERROR(VLOOKUP(Results!$A176,'Columns B to F vlookup table'!$A$4:$I$21,7,FALSE),"")</f>
        <v/>
      </c>
      <c r="E176" s="3" t="str">
        <f>IFERROR(VLOOKUP(Results!$A176,'Columns B to F vlookup table'!$A$4:$I$21,8,FALSE),"")</f>
        <v/>
      </c>
      <c r="F176" s="3" t="str">
        <f>IFERROR(VLOOKUP(Results!$A176,'Columns B to F vlookup table'!$A$4:$I$21,9,FALSE),"")</f>
        <v/>
      </c>
      <c r="AC176" s="2">
        <f t="shared" si="1"/>
        <v>0</v>
      </c>
    </row>
    <row r="177" spans="2:29" x14ac:dyDescent="0.25">
      <c r="B177" s="3" t="str">
        <f>IFERROR(VLOOKUP(Results!$A177,'Columns B to F vlookup table'!$A$4:$I$21,3,FALSE),"")</f>
        <v/>
      </c>
      <c r="C177" s="3" t="str">
        <f>IFERROR(VLOOKUP(Results!$A177,'Columns B to F vlookup table'!$A$4:$I$21,4,FALSE),"")</f>
        <v/>
      </c>
      <c r="D177" s="3" t="str">
        <f>IFERROR(VLOOKUP(Results!$A177,'Columns B to F vlookup table'!$A$4:$I$21,7,FALSE),"")</f>
        <v/>
      </c>
      <c r="E177" s="3" t="str">
        <f>IFERROR(VLOOKUP(Results!$A177,'Columns B to F vlookup table'!$A$4:$I$21,8,FALSE),"")</f>
        <v/>
      </c>
      <c r="F177" s="3" t="str">
        <f>IFERROR(VLOOKUP(Results!$A177,'Columns B to F vlookup table'!$A$4:$I$21,9,FALSE),"")</f>
        <v/>
      </c>
      <c r="AC177" s="2">
        <f t="shared" si="1"/>
        <v>0</v>
      </c>
    </row>
    <row r="178" spans="2:29" x14ac:dyDescent="0.25">
      <c r="B178" s="3" t="str">
        <f>IFERROR(VLOOKUP(Results!$A178,'Columns B to F vlookup table'!$A$4:$I$21,3,FALSE),"")</f>
        <v/>
      </c>
      <c r="C178" s="3" t="str">
        <f>IFERROR(VLOOKUP(Results!$A178,'Columns B to F vlookup table'!$A$4:$I$21,4,FALSE),"")</f>
        <v/>
      </c>
      <c r="D178" s="3" t="str">
        <f>IFERROR(VLOOKUP(Results!$A178,'Columns B to F vlookup table'!$A$4:$I$21,7,FALSE),"")</f>
        <v/>
      </c>
      <c r="E178" s="3" t="str">
        <f>IFERROR(VLOOKUP(Results!$A178,'Columns B to F vlookup table'!$A$4:$I$21,8,FALSE),"")</f>
        <v/>
      </c>
      <c r="F178" s="3" t="str">
        <f>IFERROR(VLOOKUP(Results!$A178,'Columns B to F vlookup table'!$A$4:$I$21,9,FALSE),"")</f>
        <v/>
      </c>
      <c r="AC178" s="2">
        <f t="shared" si="1"/>
        <v>0</v>
      </c>
    </row>
    <row r="179" spans="2:29" x14ac:dyDescent="0.25">
      <c r="B179" s="3" t="str">
        <f>IFERROR(VLOOKUP(Results!$A179,'Columns B to F vlookup table'!$A$4:$I$21,3,FALSE),"")</f>
        <v/>
      </c>
      <c r="C179" s="3" t="str">
        <f>IFERROR(VLOOKUP(Results!$A179,'Columns B to F vlookup table'!$A$4:$I$21,4,FALSE),"")</f>
        <v/>
      </c>
      <c r="D179" s="3" t="str">
        <f>IFERROR(VLOOKUP(Results!$A179,'Columns B to F vlookup table'!$A$4:$I$21,7,FALSE),"")</f>
        <v/>
      </c>
      <c r="E179" s="3" t="str">
        <f>IFERROR(VLOOKUP(Results!$A179,'Columns B to F vlookup table'!$A$4:$I$21,8,FALSE),"")</f>
        <v/>
      </c>
      <c r="F179" s="3" t="str">
        <f>IFERROR(VLOOKUP(Results!$A179,'Columns B to F vlookup table'!$A$4:$I$21,9,FALSE),"")</f>
        <v/>
      </c>
      <c r="AC179" s="2">
        <f t="shared" si="1"/>
        <v>0</v>
      </c>
    </row>
    <row r="180" spans="2:29" x14ac:dyDescent="0.25">
      <c r="B180" s="3" t="str">
        <f>IFERROR(VLOOKUP(Results!$A180,'Columns B to F vlookup table'!$A$4:$I$21,3,FALSE),"")</f>
        <v/>
      </c>
      <c r="C180" s="3" t="str">
        <f>IFERROR(VLOOKUP(Results!$A180,'Columns B to F vlookup table'!$A$4:$I$21,4,FALSE),"")</f>
        <v/>
      </c>
      <c r="D180" s="3" t="str">
        <f>IFERROR(VLOOKUP(Results!$A180,'Columns B to F vlookup table'!$A$4:$I$21,7,FALSE),"")</f>
        <v/>
      </c>
      <c r="E180" s="3" t="str">
        <f>IFERROR(VLOOKUP(Results!$A180,'Columns B to F vlookup table'!$A$4:$I$21,8,FALSE),"")</f>
        <v/>
      </c>
      <c r="F180" s="3" t="str">
        <f>IFERROR(VLOOKUP(Results!$A180,'Columns B to F vlookup table'!$A$4:$I$21,9,FALSE),"")</f>
        <v/>
      </c>
      <c r="AC180" s="2">
        <f t="shared" si="1"/>
        <v>0</v>
      </c>
    </row>
    <row r="181" spans="2:29" x14ac:dyDescent="0.25">
      <c r="B181" s="3" t="str">
        <f>IFERROR(VLOOKUP(Results!$A181,'Columns B to F vlookup table'!$A$4:$I$21,3,FALSE),"")</f>
        <v/>
      </c>
      <c r="C181" s="3" t="str">
        <f>IFERROR(VLOOKUP(Results!$A181,'Columns B to F vlookup table'!$A$4:$I$21,4,FALSE),"")</f>
        <v/>
      </c>
      <c r="D181" s="3" t="str">
        <f>IFERROR(VLOOKUP(Results!$A181,'Columns B to F vlookup table'!$A$4:$I$21,7,FALSE),"")</f>
        <v/>
      </c>
      <c r="E181" s="3" t="str">
        <f>IFERROR(VLOOKUP(Results!$A181,'Columns B to F vlookup table'!$A$4:$I$21,8,FALSE),"")</f>
        <v/>
      </c>
      <c r="F181" s="3" t="str">
        <f>IFERROR(VLOOKUP(Results!$A181,'Columns B to F vlookup table'!$A$4:$I$21,9,FALSE),"")</f>
        <v/>
      </c>
      <c r="AC181" s="2">
        <f t="shared" si="1"/>
        <v>0</v>
      </c>
    </row>
    <row r="182" spans="2:29" x14ac:dyDescent="0.25">
      <c r="B182" s="3" t="str">
        <f>IFERROR(VLOOKUP(Results!$A182,'Columns B to F vlookup table'!$A$4:$I$21,3,FALSE),"")</f>
        <v/>
      </c>
      <c r="C182" s="3" t="str">
        <f>IFERROR(VLOOKUP(Results!$A182,'Columns B to F vlookup table'!$A$4:$I$21,4,FALSE),"")</f>
        <v/>
      </c>
      <c r="D182" s="3" t="str">
        <f>IFERROR(VLOOKUP(Results!$A182,'Columns B to F vlookup table'!$A$4:$I$21,7,FALSE),"")</f>
        <v/>
      </c>
      <c r="E182" s="3" t="str">
        <f>IFERROR(VLOOKUP(Results!$A182,'Columns B to F vlookup table'!$A$4:$I$21,8,FALSE),"")</f>
        <v/>
      </c>
      <c r="F182" s="3" t="str">
        <f>IFERROR(VLOOKUP(Results!$A182,'Columns B to F vlookup table'!$A$4:$I$21,9,FALSE),"")</f>
        <v/>
      </c>
      <c r="AC182" s="2">
        <f t="shared" si="1"/>
        <v>0</v>
      </c>
    </row>
    <row r="183" spans="2:29" x14ac:dyDescent="0.25">
      <c r="B183" s="3" t="str">
        <f>IFERROR(VLOOKUP(Results!$A183,'Columns B to F vlookup table'!$A$4:$I$21,3,FALSE),"")</f>
        <v/>
      </c>
      <c r="C183" s="3" t="str">
        <f>IFERROR(VLOOKUP(Results!$A183,'Columns B to F vlookup table'!$A$4:$I$21,4,FALSE),"")</f>
        <v/>
      </c>
      <c r="D183" s="3" t="str">
        <f>IFERROR(VLOOKUP(Results!$A183,'Columns B to F vlookup table'!$A$4:$I$21,7,FALSE),"")</f>
        <v/>
      </c>
      <c r="E183" s="3" t="str">
        <f>IFERROR(VLOOKUP(Results!$A183,'Columns B to F vlookup table'!$A$4:$I$21,8,FALSE),"")</f>
        <v/>
      </c>
      <c r="F183" s="3" t="str">
        <f>IFERROR(VLOOKUP(Results!$A183,'Columns B to F vlookup table'!$A$4:$I$21,9,FALSE),"")</f>
        <v/>
      </c>
      <c r="AC183" s="2">
        <f t="shared" si="1"/>
        <v>0</v>
      </c>
    </row>
    <row r="184" spans="2:29" x14ac:dyDescent="0.25">
      <c r="B184" s="3" t="str">
        <f>IFERROR(VLOOKUP(Results!$A184,'Columns B to F vlookup table'!$A$4:$I$21,3,FALSE),"")</f>
        <v/>
      </c>
      <c r="C184" s="3" t="str">
        <f>IFERROR(VLOOKUP(Results!$A184,'Columns B to F vlookup table'!$A$4:$I$21,4,FALSE),"")</f>
        <v/>
      </c>
      <c r="D184" s="3" t="str">
        <f>IFERROR(VLOOKUP(Results!$A184,'Columns B to F vlookup table'!$A$4:$I$21,7,FALSE),"")</f>
        <v/>
      </c>
      <c r="E184" s="3" t="str">
        <f>IFERROR(VLOOKUP(Results!$A184,'Columns B to F vlookup table'!$A$4:$I$21,8,FALSE),"")</f>
        <v/>
      </c>
      <c r="F184" s="3" t="str">
        <f>IFERROR(VLOOKUP(Results!$A184,'Columns B to F vlookup table'!$A$4:$I$21,9,FALSE),"")</f>
        <v/>
      </c>
      <c r="AC184" s="2">
        <f t="shared" si="1"/>
        <v>0</v>
      </c>
    </row>
    <row r="185" spans="2:29" x14ac:dyDescent="0.25">
      <c r="B185" s="3" t="str">
        <f>IFERROR(VLOOKUP(Results!$A185,'Columns B to F vlookup table'!$A$4:$I$21,3,FALSE),"")</f>
        <v/>
      </c>
      <c r="C185" s="3" t="str">
        <f>IFERROR(VLOOKUP(Results!$A185,'Columns B to F vlookup table'!$A$4:$I$21,4,FALSE),"")</f>
        <v/>
      </c>
      <c r="D185" s="3" t="str">
        <f>IFERROR(VLOOKUP(Results!$A185,'Columns B to F vlookup table'!$A$4:$I$21,7,FALSE),"")</f>
        <v/>
      </c>
      <c r="E185" s="3" t="str">
        <f>IFERROR(VLOOKUP(Results!$A185,'Columns B to F vlookup table'!$A$4:$I$21,8,FALSE),"")</f>
        <v/>
      </c>
      <c r="F185" s="3" t="str">
        <f>IFERROR(VLOOKUP(Results!$A185,'Columns B to F vlookup table'!$A$4:$I$21,9,FALSE),"")</f>
        <v/>
      </c>
      <c r="AC185" s="2">
        <f t="shared" si="1"/>
        <v>0</v>
      </c>
    </row>
    <row r="186" spans="2:29" x14ac:dyDescent="0.25">
      <c r="B186" s="3" t="str">
        <f>IFERROR(VLOOKUP(Results!$A186,'Columns B to F vlookup table'!$A$4:$I$21,3,FALSE),"")</f>
        <v/>
      </c>
      <c r="C186" s="3" t="str">
        <f>IFERROR(VLOOKUP(Results!$A186,'Columns B to F vlookup table'!$A$4:$I$21,4,FALSE),"")</f>
        <v/>
      </c>
      <c r="D186" s="3" t="str">
        <f>IFERROR(VLOOKUP(Results!$A186,'Columns B to F vlookup table'!$A$4:$I$21,7,FALSE),"")</f>
        <v/>
      </c>
      <c r="E186" s="3" t="str">
        <f>IFERROR(VLOOKUP(Results!$A186,'Columns B to F vlookup table'!$A$4:$I$21,8,FALSE),"")</f>
        <v/>
      </c>
      <c r="F186" s="3" t="str">
        <f>IFERROR(VLOOKUP(Results!$A186,'Columns B to F vlookup table'!$A$4:$I$21,9,FALSE),"")</f>
        <v/>
      </c>
      <c r="AC186" s="2">
        <f t="shared" si="1"/>
        <v>0</v>
      </c>
    </row>
    <row r="187" spans="2:29" x14ac:dyDescent="0.25">
      <c r="B187" s="3" t="str">
        <f>IFERROR(VLOOKUP(Results!$A187,'Columns B to F vlookup table'!$A$4:$I$21,3,FALSE),"")</f>
        <v/>
      </c>
      <c r="C187" s="3" t="str">
        <f>IFERROR(VLOOKUP(Results!$A187,'Columns B to F vlookup table'!$A$4:$I$21,4,FALSE),"")</f>
        <v/>
      </c>
      <c r="D187" s="3" t="str">
        <f>IFERROR(VLOOKUP(Results!$A187,'Columns B to F vlookup table'!$A$4:$I$21,7,FALSE),"")</f>
        <v/>
      </c>
      <c r="E187" s="3" t="str">
        <f>IFERROR(VLOOKUP(Results!$A187,'Columns B to F vlookup table'!$A$4:$I$21,8,FALSE),"")</f>
        <v/>
      </c>
      <c r="F187" s="3" t="str">
        <f>IFERROR(VLOOKUP(Results!$A187,'Columns B to F vlookup table'!$A$4:$I$21,9,FALSE),"")</f>
        <v/>
      </c>
      <c r="AC187" s="2">
        <f t="shared" si="1"/>
        <v>0</v>
      </c>
    </row>
    <row r="188" spans="2:29" x14ac:dyDescent="0.25">
      <c r="B188" s="3" t="str">
        <f>IFERROR(VLOOKUP(Results!$A188,'Columns B to F vlookup table'!$A$4:$I$21,3,FALSE),"")</f>
        <v/>
      </c>
      <c r="C188" s="3" t="str">
        <f>IFERROR(VLOOKUP(Results!$A188,'Columns B to F vlookup table'!$A$4:$I$21,4,FALSE),"")</f>
        <v/>
      </c>
      <c r="D188" s="3" t="str">
        <f>IFERROR(VLOOKUP(Results!$A188,'Columns B to F vlookup table'!$A$4:$I$21,7,FALSE),"")</f>
        <v/>
      </c>
      <c r="E188" s="3" t="str">
        <f>IFERROR(VLOOKUP(Results!$A188,'Columns B to F vlookup table'!$A$4:$I$21,8,FALSE),"")</f>
        <v/>
      </c>
      <c r="F188" s="3" t="str">
        <f>IFERROR(VLOOKUP(Results!$A188,'Columns B to F vlookup table'!$A$4:$I$21,9,FALSE),"")</f>
        <v/>
      </c>
      <c r="AC188" s="2">
        <f t="shared" si="1"/>
        <v>0</v>
      </c>
    </row>
    <row r="189" spans="2:29" x14ac:dyDescent="0.25">
      <c r="B189" s="3" t="str">
        <f>IFERROR(VLOOKUP(Results!$A189,'Columns B to F vlookup table'!$A$4:$I$21,3,FALSE),"")</f>
        <v/>
      </c>
      <c r="C189" s="3" t="str">
        <f>IFERROR(VLOOKUP(Results!$A189,'Columns B to F vlookup table'!$A$4:$I$21,4,FALSE),"")</f>
        <v/>
      </c>
      <c r="D189" s="3" t="str">
        <f>IFERROR(VLOOKUP(Results!$A189,'Columns B to F vlookup table'!$A$4:$I$21,7,FALSE),"")</f>
        <v/>
      </c>
      <c r="E189" s="3" t="str">
        <f>IFERROR(VLOOKUP(Results!$A189,'Columns B to F vlookup table'!$A$4:$I$21,8,FALSE),"")</f>
        <v/>
      </c>
      <c r="F189" s="3" t="str">
        <f>IFERROR(VLOOKUP(Results!$A189,'Columns B to F vlookup table'!$A$4:$I$21,9,FALSE),"")</f>
        <v/>
      </c>
      <c r="AC189" s="2">
        <f t="shared" si="1"/>
        <v>0</v>
      </c>
    </row>
    <row r="190" spans="2:29" x14ac:dyDescent="0.25">
      <c r="B190" s="3" t="str">
        <f>IFERROR(VLOOKUP(Results!$A190,'Columns B to F vlookup table'!$A$4:$I$21,3,FALSE),"")</f>
        <v/>
      </c>
      <c r="C190" s="3" t="str">
        <f>IFERROR(VLOOKUP(Results!$A190,'Columns B to F vlookup table'!$A$4:$I$21,4,FALSE),"")</f>
        <v/>
      </c>
      <c r="D190" s="3" t="str">
        <f>IFERROR(VLOOKUP(Results!$A190,'Columns B to F vlookup table'!$A$4:$I$21,7,FALSE),"")</f>
        <v/>
      </c>
      <c r="E190" s="3" t="str">
        <f>IFERROR(VLOOKUP(Results!$A190,'Columns B to F vlookup table'!$A$4:$I$21,8,FALSE),"")</f>
        <v/>
      </c>
      <c r="F190" s="3" t="str">
        <f>IFERROR(VLOOKUP(Results!$A190,'Columns B to F vlookup table'!$A$4:$I$21,9,FALSE),"")</f>
        <v/>
      </c>
      <c r="AC190" s="2">
        <f t="shared" si="1"/>
        <v>0</v>
      </c>
    </row>
    <row r="191" spans="2:29" x14ac:dyDescent="0.25">
      <c r="B191" s="3" t="str">
        <f>IFERROR(VLOOKUP(Results!$A191,'Columns B to F vlookup table'!$A$4:$I$21,3,FALSE),"")</f>
        <v/>
      </c>
      <c r="C191" s="3" t="str">
        <f>IFERROR(VLOOKUP(Results!$A191,'Columns B to F vlookup table'!$A$4:$I$21,4,FALSE),"")</f>
        <v/>
      </c>
      <c r="D191" s="3" t="str">
        <f>IFERROR(VLOOKUP(Results!$A191,'Columns B to F vlookup table'!$A$4:$I$21,7,FALSE),"")</f>
        <v/>
      </c>
      <c r="E191" s="3" t="str">
        <f>IFERROR(VLOOKUP(Results!$A191,'Columns B to F vlookup table'!$A$4:$I$21,8,FALSE),"")</f>
        <v/>
      </c>
      <c r="F191" s="3" t="str">
        <f>IFERROR(VLOOKUP(Results!$A191,'Columns B to F vlookup table'!$A$4:$I$21,9,FALSE),"")</f>
        <v/>
      </c>
      <c r="AC191" s="2">
        <f t="shared" si="1"/>
        <v>0</v>
      </c>
    </row>
    <row r="192" spans="2:29" x14ac:dyDescent="0.25">
      <c r="B192" s="3" t="str">
        <f>IFERROR(VLOOKUP(Results!$A192,'Columns B to F vlookup table'!$A$4:$I$21,3,FALSE),"")</f>
        <v/>
      </c>
      <c r="C192" s="3" t="str">
        <f>IFERROR(VLOOKUP(Results!$A192,'Columns B to F vlookup table'!$A$4:$I$21,4,FALSE),"")</f>
        <v/>
      </c>
      <c r="D192" s="3" t="str">
        <f>IFERROR(VLOOKUP(Results!$A192,'Columns B to F vlookup table'!$A$4:$I$21,7,FALSE),"")</f>
        <v/>
      </c>
      <c r="E192" s="3" t="str">
        <f>IFERROR(VLOOKUP(Results!$A192,'Columns B to F vlookup table'!$A$4:$I$21,8,FALSE),"")</f>
        <v/>
      </c>
      <c r="F192" s="3" t="str">
        <f>IFERROR(VLOOKUP(Results!$A192,'Columns B to F vlookup table'!$A$4:$I$21,9,FALSE),"")</f>
        <v/>
      </c>
      <c r="AC192" s="2">
        <f t="shared" si="1"/>
        <v>0</v>
      </c>
    </row>
    <row r="193" spans="1:29" x14ac:dyDescent="0.25">
      <c r="B193" s="3" t="str">
        <f>IFERROR(VLOOKUP(Results!$A193,'Columns B to F vlookup table'!$A$4:$I$21,3,FALSE),"")</f>
        <v/>
      </c>
      <c r="C193" s="3" t="str">
        <f>IFERROR(VLOOKUP(Results!$A193,'Columns B to F vlookup table'!$A$4:$I$21,4,FALSE),"")</f>
        <v/>
      </c>
      <c r="D193" s="3" t="str">
        <f>IFERROR(VLOOKUP(Results!$A193,'Columns B to F vlookup table'!$A$4:$I$21,7,FALSE),"")</f>
        <v/>
      </c>
      <c r="E193" s="3" t="str">
        <f>IFERROR(VLOOKUP(Results!$A193,'Columns B to F vlookup table'!$A$4:$I$21,8,FALSE),"")</f>
        <v/>
      </c>
      <c r="F193" s="3" t="str">
        <f>IFERROR(VLOOKUP(Results!$A193,'Columns B to F vlookup table'!$A$4:$I$21,9,FALSE),"")</f>
        <v/>
      </c>
      <c r="AC193" s="2">
        <f t="shared" si="1"/>
        <v>0</v>
      </c>
    </row>
    <row r="194" spans="1:29" x14ac:dyDescent="0.25">
      <c r="B194" s="3" t="str">
        <f>IFERROR(VLOOKUP(Results!$A194,'Columns B to F vlookup table'!$A$4:$I$21,3,FALSE),"")</f>
        <v/>
      </c>
      <c r="C194" s="3" t="str">
        <f>IFERROR(VLOOKUP(Results!$A194,'Columns B to F vlookup table'!$A$4:$I$21,4,FALSE),"")</f>
        <v/>
      </c>
      <c r="D194" s="3" t="str">
        <f>IFERROR(VLOOKUP(Results!$A194,'Columns B to F vlookup table'!$A$4:$I$21,7,FALSE),"")</f>
        <v/>
      </c>
      <c r="E194" s="3" t="str">
        <f>IFERROR(VLOOKUP(Results!$A194,'Columns B to F vlookup table'!$A$4:$I$21,8,FALSE),"")</f>
        <v/>
      </c>
      <c r="F194" s="3" t="str">
        <f>IFERROR(VLOOKUP(Results!$A194,'Columns B to F vlookup table'!$A$4:$I$21,9,FALSE),"")</f>
        <v/>
      </c>
      <c r="AC194" s="2">
        <f t="shared" si="1"/>
        <v>0</v>
      </c>
    </row>
    <row r="195" spans="1:29" x14ac:dyDescent="0.25">
      <c r="B195" s="3" t="str">
        <f>IFERROR(VLOOKUP(Results!$A195,'Columns B to F vlookup table'!$A$4:$I$21,3,FALSE),"")</f>
        <v/>
      </c>
      <c r="C195" s="3" t="str">
        <f>IFERROR(VLOOKUP(Results!$A195,'Columns B to F vlookup table'!$A$4:$I$21,4,FALSE),"")</f>
        <v/>
      </c>
      <c r="D195" s="3" t="str">
        <f>IFERROR(VLOOKUP(Results!$A195,'Columns B to F vlookup table'!$A$4:$I$21,7,FALSE),"")</f>
        <v/>
      </c>
      <c r="E195" s="3" t="str">
        <f>IFERROR(VLOOKUP(Results!$A195,'Columns B to F vlookup table'!$A$4:$I$21,8,FALSE),"")</f>
        <v/>
      </c>
      <c r="F195" s="3" t="str">
        <f>IFERROR(VLOOKUP(Results!$A195,'Columns B to F vlookup table'!$A$4:$I$21,9,FALSE),"")</f>
        <v/>
      </c>
      <c r="AC195" s="2">
        <f t="shared" si="1"/>
        <v>0</v>
      </c>
    </row>
    <row r="196" spans="1:29" x14ac:dyDescent="0.25">
      <c r="B196" s="3" t="str">
        <f>IFERROR(VLOOKUP(Results!$A196,'Columns B to F vlookup table'!$A$4:$I$21,3,FALSE),"")</f>
        <v/>
      </c>
      <c r="C196" s="3" t="str">
        <f>IFERROR(VLOOKUP(Results!$A196,'Columns B to F vlookup table'!$A$4:$I$21,4,FALSE),"")</f>
        <v/>
      </c>
      <c r="D196" s="3" t="str">
        <f>IFERROR(VLOOKUP(Results!$A196,'Columns B to F vlookup table'!$A$4:$I$21,7,FALSE),"")</f>
        <v/>
      </c>
      <c r="E196" s="3" t="str">
        <f>IFERROR(VLOOKUP(Results!$A196,'Columns B to F vlookup table'!$A$4:$I$21,8,FALSE),"")</f>
        <v/>
      </c>
      <c r="F196" s="3" t="str">
        <f>IFERROR(VLOOKUP(Results!$A196,'Columns B to F vlookup table'!$A$4:$I$21,9,FALSE),"")</f>
        <v/>
      </c>
      <c r="AC196" s="2">
        <f t="shared" si="1"/>
        <v>0</v>
      </c>
    </row>
    <row r="197" spans="1:29" x14ac:dyDescent="0.25">
      <c r="B197" s="3" t="str">
        <f>IFERROR(VLOOKUP(Results!$A197,'Columns B to F vlookup table'!$A$4:$I$21,3,FALSE),"")</f>
        <v/>
      </c>
      <c r="C197" s="3" t="str">
        <f>IFERROR(VLOOKUP(Results!$A197,'Columns B to F vlookup table'!$A$4:$I$21,4,FALSE),"")</f>
        <v/>
      </c>
      <c r="D197" s="3" t="str">
        <f>IFERROR(VLOOKUP(Results!$A197,'Columns B to F vlookup table'!$A$4:$I$21,7,FALSE),"")</f>
        <v/>
      </c>
      <c r="E197" s="3" t="str">
        <f>IFERROR(VLOOKUP(Results!$A197,'Columns B to F vlookup table'!$A$4:$I$21,8,FALSE),"")</f>
        <v/>
      </c>
      <c r="F197" s="3" t="str">
        <f>IFERROR(VLOOKUP(Results!$A197,'Columns B to F vlookup table'!$A$4:$I$21,9,FALSE),"")</f>
        <v/>
      </c>
      <c r="AC197" s="2">
        <f t="shared" si="1"/>
        <v>0</v>
      </c>
    </row>
    <row r="198" spans="1:29" x14ac:dyDescent="0.25">
      <c r="B198" s="3" t="str">
        <f>IFERROR(VLOOKUP(Results!$A198,'Columns B to F vlookup table'!$A$4:$I$21,3,FALSE),"")</f>
        <v/>
      </c>
      <c r="C198" s="3" t="str">
        <f>IFERROR(VLOOKUP(Results!$A198,'Columns B to F vlookup table'!$A$4:$I$21,4,FALSE),"")</f>
        <v/>
      </c>
      <c r="D198" s="3" t="str">
        <f>IFERROR(VLOOKUP(Results!$A198,'Columns B to F vlookup table'!$A$4:$I$21,7,FALSE),"")</f>
        <v/>
      </c>
      <c r="E198" s="3" t="str">
        <f>IFERROR(VLOOKUP(Results!$A198,'Columns B to F vlookup table'!$A$4:$I$21,8,FALSE),"")</f>
        <v/>
      </c>
      <c r="F198" s="3" t="str">
        <f>IFERROR(VLOOKUP(Results!$A198,'Columns B to F vlookup table'!$A$4:$I$21,9,FALSE),"")</f>
        <v/>
      </c>
      <c r="AC198" s="2">
        <f t="shared" si="1"/>
        <v>0</v>
      </c>
    </row>
    <row r="199" spans="1:29" x14ac:dyDescent="0.25">
      <c r="B199" s="3" t="str">
        <f>IFERROR(VLOOKUP(Results!$A199,'Columns B to F vlookup table'!$A$4:$I$21,3,FALSE),"")</f>
        <v/>
      </c>
      <c r="C199" s="3" t="str">
        <f>IFERROR(VLOOKUP(Results!$A199,'Columns B to F vlookup table'!$A$4:$I$21,4,FALSE),"")</f>
        <v/>
      </c>
      <c r="D199" s="3" t="str">
        <f>IFERROR(VLOOKUP(Results!$A199,'Columns B to F vlookup table'!$A$4:$I$21,7,FALSE),"")</f>
        <v/>
      </c>
      <c r="E199" s="3" t="str">
        <f>IFERROR(VLOOKUP(Results!$A199,'Columns B to F vlookup table'!$A$4:$I$21,8,FALSE),"")</f>
        <v/>
      </c>
      <c r="F199" s="3" t="str">
        <f>IFERROR(VLOOKUP(Results!$A199,'Columns B to F vlookup table'!$A$4:$I$21,9,FALSE),"")</f>
        <v/>
      </c>
      <c r="AC199" s="2">
        <f t="shared" si="1"/>
        <v>0</v>
      </c>
    </row>
    <row r="200" spans="1:29" x14ac:dyDescent="0.25">
      <c r="B200" s="3" t="str">
        <f>IFERROR(VLOOKUP(Results!$A200,'Columns B to F vlookup table'!$A$4:$I$21,3,FALSE),"")</f>
        <v/>
      </c>
      <c r="C200" s="3" t="str">
        <f>IFERROR(VLOOKUP(Results!$A200,'Columns B to F vlookup table'!$A$4:$I$21,4,FALSE),"")</f>
        <v/>
      </c>
      <c r="D200" s="3" t="str">
        <f>IFERROR(VLOOKUP(Results!$A200,'Columns B to F vlookup table'!$A$4:$I$21,7,FALSE),"")</f>
        <v/>
      </c>
      <c r="E200" s="3" t="str">
        <f>IFERROR(VLOOKUP(Results!$A200,'Columns B to F vlookup table'!$A$4:$I$21,8,FALSE),"")</f>
        <v/>
      </c>
      <c r="F200" s="3" t="str">
        <f>IFERROR(VLOOKUP(Results!$A200,'Columns B to F vlookup table'!$A$4:$I$21,9,FALSE),"")</f>
        <v/>
      </c>
      <c r="AC200" s="2">
        <f t="shared" si="1"/>
        <v>0</v>
      </c>
    </row>
    <row r="206" spans="1:29" x14ac:dyDescent="0.25">
      <c r="A206" s="4"/>
    </row>
    <row r="207" spans="1:29" x14ac:dyDescent="0.25">
      <c r="A207" s="4"/>
    </row>
    <row r="208" spans="1:29" x14ac:dyDescent="0.25">
      <c r="A208" s="4"/>
    </row>
    <row r="209" spans="1:1" x14ac:dyDescent="0.25">
      <c r="A209" s="4"/>
    </row>
    <row r="210" spans="1:1" x14ac:dyDescent="0.25">
      <c r="A210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</sheetData>
  <autoFilter ref="A1:AC200"/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'Columns B to F vlookup table'!$A$4:$A$21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selection activeCell="A4" sqref="A4:A21"/>
    </sheetView>
  </sheetViews>
  <sheetFormatPr defaultRowHeight="15" x14ac:dyDescent="0.25"/>
  <cols>
    <col min="1" max="1" width="19.28515625" bestFit="1" customWidth="1"/>
    <col min="3" max="3" width="7.5703125" bestFit="1" customWidth="1"/>
    <col min="4" max="4" width="13.28515625" bestFit="1" customWidth="1"/>
    <col min="5" max="5" width="17.85546875" bestFit="1" customWidth="1"/>
    <col min="6" max="6" width="19.28515625" bestFit="1" customWidth="1"/>
    <col min="7" max="7" width="20.5703125" bestFit="1" customWidth="1"/>
    <col min="8" max="8" width="13.5703125" bestFit="1" customWidth="1"/>
    <col min="9" max="9" width="14" bestFit="1" customWidth="1"/>
    <col min="10" max="10" width="0" hidden="1" customWidth="1"/>
    <col min="11" max="15" width="5" hidden="1" customWidth="1"/>
    <col min="16" max="16" width="24.7109375" style="9" bestFit="1" customWidth="1"/>
    <col min="17" max="17" width="10.7109375" style="9" bestFit="1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</row>
    <row r="2" spans="1:17" x14ac:dyDescent="0.25">
      <c r="H2" s="27" t="s">
        <v>110</v>
      </c>
      <c r="I2" s="27"/>
      <c r="P2" s="11"/>
    </row>
    <row r="3" spans="1:17" x14ac:dyDescent="0.25">
      <c r="A3" s="8" t="s">
        <v>1</v>
      </c>
      <c r="B3" t="s">
        <v>112</v>
      </c>
      <c r="C3" t="s">
        <v>0</v>
      </c>
      <c r="D3" t="s">
        <v>17</v>
      </c>
      <c r="E3" t="s">
        <v>111</v>
      </c>
      <c r="F3" t="s">
        <v>1</v>
      </c>
      <c r="G3" t="s">
        <v>109</v>
      </c>
      <c r="H3" t="s">
        <v>29</v>
      </c>
      <c r="I3" t="s">
        <v>30</v>
      </c>
      <c r="J3" t="s">
        <v>119</v>
      </c>
      <c r="K3" t="s">
        <v>120</v>
      </c>
      <c r="L3" s="10" t="s">
        <v>121</v>
      </c>
      <c r="M3" t="s">
        <v>122</v>
      </c>
      <c r="N3" s="10" t="s">
        <v>123</v>
      </c>
      <c r="O3" t="s">
        <v>124</v>
      </c>
      <c r="P3" s="12" t="s">
        <v>140</v>
      </c>
      <c r="Q3" s="9" t="s">
        <v>125</v>
      </c>
    </row>
    <row r="4" spans="1:17" x14ac:dyDescent="0.25">
      <c r="A4" s="8" t="s">
        <v>70</v>
      </c>
      <c r="B4" s="7">
        <v>170</v>
      </c>
      <c r="C4" s="5" t="s">
        <v>2</v>
      </c>
      <c r="D4" s="5" t="s">
        <v>23</v>
      </c>
      <c r="E4" s="6" t="s">
        <v>113</v>
      </c>
      <c r="F4" t="s">
        <v>70</v>
      </c>
      <c r="G4" t="s">
        <v>31</v>
      </c>
      <c r="H4" t="s">
        <v>71</v>
      </c>
      <c r="I4" t="s">
        <v>72</v>
      </c>
      <c r="J4" t="s">
        <v>126</v>
      </c>
      <c r="K4">
        <v>56.6</v>
      </c>
      <c r="L4">
        <v>20.2</v>
      </c>
      <c r="M4">
        <v>51.2</v>
      </c>
      <c r="N4">
        <v>15.3</v>
      </c>
      <c r="O4">
        <v>0.73</v>
      </c>
      <c r="P4" s="9">
        <f t="shared" ref="P4:P16" si="0">ROUND(1/6*O4*(K4*L4+(K4+M4)*(L4+N4)+M4*N4),1)</f>
        <v>700</v>
      </c>
      <c r="Q4" s="9">
        <f t="shared" ref="Q4:Q16" si="1">P4*1000</f>
        <v>700000</v>
      </c>
    </row>
    <row r="5" spans="1:17" x14ac:dyDescent="0.25">
      <c r="A5" s="8" t="s">
        <v>73</v>
      </c>
      <c r="B5" s="7">
        <v>170</v>
      </c>
      <c r="C5" s="5" t="s">
        <v>2</v>
      </c>
      <c r="D5" s="5" t="s">
        <v>23</v>
      </c>
      <c r="E5" s="6" t="s">
        <v>113</v>
      </c>
      <c r="F5" t="s">
        <v>73</v>
      </c>
      <c r="G5" t="s">
        <v>37</v>
      </c>
      <c r="H5" t="s">
        <v>77</v>
      </c>
      <c r="I5" t="s">
        <v>78</v>
      </c>
      <c r="J5" t="s">
        <v>127</v>
      </c>
      <c r="K5">
        <v>13.8</v>
      </c>
      <c r="L5">
        <v>21.6</v>
      </c>
      <c r="M5">
        <v>10.6</v>
      </c>
      <c r="N5">
        <v>18.5</v>
      </c>
      <c r="O5">
        <v>0.87</v>
      </c>
      <c r="P5" s="9">
        <f t="shared" si="0"/>
        <v>213.5</v>
      </c>
      <c r="Q5" s="9">
        <f t="shared" si="1"/>
        <v>213500</v>
      </c>
    </row>
    <row r="6" spans="1:17" x14ac:dyDescent="0.25">
      <c r="A6" s="8" t="s">
        <v>74</v>
      </c>
      <c r="B6" s="7">
        <v>170</v>
      </c>
      <c r="C6" s="5" t="s">
        <v>2</v>
      </c>
      <c r="D6" s="5" t="s">
        <v>23</v>
      </c>
      <c r="E6" s="6" t="s">
        <v>113</v>
      </c>
      <c r="F6" t="s">
        <v>74</v>
      </c>
      <c r="G6" t="s">
        <v>49</v>
      </c>
      <c r="H6" t="s">
        <v>75</v>
      </c>
      <c r="I6" t="s">
        <v>76</v>
      </c>
      <c r="J6" t="s">
        <v>128</v>
      </c>
      <c r="K6">
        <v>40.200000000000003</v>
      </c>
      <c r="L6">
        <v>23.8</v>
      </c>
      <c r="M6">
        <v>34.1</v>
      </c>
      <c r="N6">
        <v>18.100000000000001</v>
      </c>
      <c r="O6">
        <v>0.92</v>
      </c>
      <c r="P6" s="9">
        <f t="shared" si="0"/>
        <v>718.7</v>
      </c>
      <c r="Q6" s="9">
        <f t="shared" si="1"/>
        <v>718700</v>
      </c>
    </row>
    <row r="7" spans="1:17" x14ac:dyDescent="0.25">
      <c r="A7" s="8" t="s">
        <v>56</v>
      </c>
      <c r="B7" s="7">
        <v>230</v>
      </c>
      <c r="C7" s="5" t="s">
        <v>18</v>
      </c>
      <c r="D7" s="5" t="s">
        <v>22</v>
      </c>
      <c r="E7" s="6" t="s">
        <v>114</v>
      </c>
      <c r="F7" t="s">
        <v>56</v>
      </c>
      <c r="G7" t="s">
        <v>31</v>
      </c>
      <c r="H7" t="s">
        <v>54</v>
      </c>
      <c r="I7" t="s">
        <v>55</v>
      </c>
      <c r="J7" t="s">
        <v>130</v>
      </c>
      <c r="K7">
        <f>ROUND(CONVERT(110,"ft","m"),1)</f>
        <v>33.5</v>
      </c>
      <c r="L7">
        <f>ROUND(CONVERT(110,"ft","m"),1)</f>
        <v>33.5</v>
      </c>
      <c r="M7">
        <f>ROUND(CONVERT(88,"ft","m"),1)</f>
        <v>26.8</v>
      </c>
      <c r="N7">
        <f>CONVERT(88,"ft","m")</f>
        <v>26.822399999999998</v>
      </c>
      <c r="O7">
        <f>CONVERT(3,"ft","m")</f>
        <v>0.91439999999999999</v>
      </c>
      <c r="P7" s="9">
        <f t="shared" si="0"/>
        <v>834.9</v>
      </c>
      <c r="Q7" s="9">
        <f t="shared" si="1"/>
        <v>834900</v>
      </c>
    </row>
    <row r="8" spans="1:17" x14ac:dyDescent="0.25">
      <c r="A8" s="8" t="s">
        <v>57</v>
      </c>
      <c r="B8" s="7">
        <v>230</v>
      </c>
      <c r="C8" s="5" t="s">
        <v>18</v>
      </c>
      <c r="D8" s="5" t="s">
        <v>22</v>
      </c>
      <c r="E8" s="6" t="s">
        <v>114</v>
      </c>
      <c r="F8" t="s">
        <v>57</v>
      </c>
      <c r="G8" t="s">
        <v>49</v>
      </c>
      <c r="H8" t="s">
        <v>68</v>
      </c>
      <c r="I8" t="s">
        <v>69</v>
      </c>
      <c r="J8" t="s">
        <v>131</v>
      </c>
      <c r="K8">
        <f>CONVERT(140,"ft","m")</f>
        <v>42.671999999999997</v>
      </c>
      <c r="L8">
        <f>CONVERT(75,"ft","m")</f>
        <v>22.86</v>
      </c>
      <c r="M8">
        <f>K8-3</f>
        <v>39.671999999999997</v>
      </c>
      <c r="N8">
        <f>L8-3</f>
        <v>19.86</v>
      </c>
      <c r="O8">
        <v>0.9</v>
      </c>
      <c r="P8" s="9">
        <f t="shared" si="0"/>
        <v>792.2</v>
      </c>
      <c r="Q8" s="9">
        <f t="shared" si="1"/>
        <v>792200</v>
      </c>
    </row>
    <row r="9" spans="1:17" x14ac:dyDescent="0.25">
      <c r="A9" s="8" t="s">
        <v>62</v>
      </c>
      <c r="B9" s="7">
        <v>280</v>
      </c>
      <c r="C9" s="5" t="s">
        <v>5</v>
      </c>
      <c r="D9" s="5" t="s">
        <v>26</v>
      </c>
      <c r="E9" s="6" t="s">
        <v>116</v>
      </c>
      <c r="F9" t="s">
        <v>62</v>
      </c>
      <c r="G9" t="s">
        <v>31</v>
      </c>
      <c r="H9" t="s">
        <v>43</v>
      </c>
      <c r="I9" t="s">
        <v>44</v>
      </c>
      <c r="J9" t="s">
        <v>132</v>
      </c>
      <c r="K9">
        <f>21.162+14</f>
        <v>35.161999999999999</v>
      </c>
      <c r="L9">
        <v>33</v>
      </c>
      <c r="M9">
        <v>25.9</v>
      </c>
      <c r="N9">
        <v>24.4</v>
      </c>
      <c r="O9">
        <f>AVERAGE(4.8,4.7,4.8,4.9)/3</f>
        <v>1.6000000000000003</v>
      </c>
      <c r="P9" s="9">
        <f t="shared" si="0"/>
        <v>1412.6</v>
      </c>
      <c r="Q9" s="9">
        <f t="shared" si="1"/>
        <v>1412600</v>
      </c>
    </row>
    <row r="10" spans="1:17" x14ac:dyDescent="0.25">
      <c r="A10" s="8" t="s">
        <v>61</v>
      </c>
      <c r="B10" s="7">
        <v>280</v>
      </c>
      <c r="C10" s="5" t="s">
        <v>5</v>
      </c>
      <c r="D10" s="5" t="s">
        <v>26</v>
      </c>
      <c r="E10" s="6" t="s">
        <v>116</v>
      </c>
      <c r="F10" t="s">
        <v>61</v>
      </c>
      <c r="G10" t="s">
        <v>31</v>
      </c>
      <c r="H10" t="s">
        <v>45</v>
      </c>
      <c r="I10" t="s">
        <v>46</v>
      </c>
      <c r="J10" t="s">
        <v>132</v>
      </c>
      <c r="K10">
        <f>21.162+14</f>
        <v>35.161999999999999</v>
      </c>
      <c r="L10">
        <v>33</v>
      </c>
      <c r="M10">
        <v>25.1</v>
      </c>
      <c r="N10">
        <v>21.9</v>
      </c>
      <c r="O10">
        <f>AVERAGE(5,4.9,4.7,4.9)/3</f>
        <v>1.625</v>
      </c>
      <c r="P10" s="9">
        <f t="shared" si="0"/>
        <v>1359.2</v>
      </c>
      <c r="Q10" s="9">
        <f t="shared" si="1"/>
        <v>1359200</v>
      </c>
    </row>
    <row r="11" spans="1:17" x14ac:dyDescent="0.25">
      <c r="A11" s="8" t="s">
        <v>60</v>
      </c>
      <c r="B11" s="7">
        <v>280</v>
      </c>
      <c r="C11" s="5" t="s">
        <v>5</v>
      </c>
      <c r="D11" s="5" t="s">
        <v>26</v>
      </c>
      <c r="E11" s="6" t="s">
        <v>116</v>
      </c>
      <c r="F11" t="s">
        <v>60</v>
      </c>
      <c r="G11" t="s">
        <v>37</v>
      </c>
      <c r="H11" t="s">
        <v>47</v>
      </c>
      <c r="I11" t="s">
        <v>48</v>
      </c>
      <c r="J11" t="s">
        <v>133</v>
      </c>
      <c r="K11">
        <v>23.1</v>
      </c>
      <c r="L11">
        <v>15.5</v>
      </c>
      <c r="M11">
        <v>18.3</v>
      </c>
      <c r="N11">
        <v>10.4</v>
      </c>
      <c r="O11">
        <f>AVERAGE(4.474,4.297,4.389,4.258)/3</f>
        <v>1.4515</v>
      </c>
      <c r="P11" s="9">
        <f t="shared" si="0"/>
        <v>392.1</v>
      </c>
      <c r="Q11" s="9">
        <f t="shared" si="1"/>
        <v>392100</v>
      </c>
    </row>
    <row r="12" spans="1:17" x14ac:dyDescent="0.25">
      <c r="A12" s="8" t="s">
        <v>59</v>
      </c>
      <c r="B12" s="7">
        <v>280</v>
      </c>
      <c r="C12" s="5" t="s">
        <v>5</v>
      </c>
      <c r="D12" s="5" t="s">
        <v>26</v>
      </c>
      <c r="E12" s="6" t="s">
        <v>116</v>
      </c>
      <c r="F12" t="s">
        <v>59</v>
      </c>
      <c r="G12" t="s">
        <v>49</v>
      </c>
      <c r="H12" t="s">
        <v>52</v>
      </c>
      <c r="I12" t="s">
        <v>53</v>
      </c>
      <c r="J12" t="s">
        <v>134</v>
      </c>
      <c r="K12">
        <v>40.5</v>
      </c>
      <c r="L12">
        <v>33.799999999999997</v>
      </c>
      <c r="M12">
        <v>31.7</v>
      </c>
      <c r="N12">
        <v>26.5</v>
      </c>
      <c r="O12">
        <f>AVERAGE(2.176,2.201,2.024,1.871)</f>
        <v>2.0680000000000001</v>
      </c>
      <c r="P12" s="9">
        <f t="shared" si="0"/>
        <v>2261.9</v>
      </c>
      <c r="Q12" s="9">
        <f t="shared" si="1"/>
        <v>2261900</v>
      </c>
    </row>
    <row r="13" spans="1:17" x14ac:dyDescent="0.25">
      <c r="A13" s="8" t="s">
        <v>58</v>
      </c>
      <c r="B13" s="7">
        <v>280</v>
      </c>
      <c r="C13" s="5" t="s">
        <v>5</v>
      </c>
      <c r="D13" s="5" t="s">
        <v>26</v>
      </c>
      <c r="E13" s="6" t="s">
        <v>116</v>
      </c>
      <c r="F13" t="s">
        <v>58</v>
      </c>
      <c r="G13" t="s">
        <v>49</v>
      </c>
      <c r="H13" t="s">
        <v>50</v>
      </c>
      <c r="I13" t="s">
        <v>51</v>
      </c>
      <c r="J13" t="s">
        <v>134</v>
      </c>
      <c r="K13">
        <v>40.200000000000003</v>
      </c>
      <c r="L13">
        <v>34.1</v>
      </c>
      <c r="M13">
        <v>31.4</v>
      </c>
      <c r="N13">
        <v>26.2</v>
      </c>
      <c r="O13">
        <f>AVERAGE(2.071,1.893,1.969,1.893)</f>
        <v>1.9565000000000001</v>
      </c>
      <c r="P13" s="9">
        <f t="shared" si="0"/>
        <v>2123.1</v>
      </c>
      <c r="Q13" s="9">
        <f t="shared" si="1"/>
        <v>2123100</v>
      </c>
    </row>
    <row r="14" spans="1:17" x14ac:dyDescent="0.25">
      <c r="A14" s="8" t="s">
        <v>65</v>
      </c>
      <c r="B14" s="7">
        <v>330</v>
      </c>
      <c r="C14" s="5" t="s">
        <v>19</v>
      </c>
      <c r="D14" s="3" t="s">
        <v>146</v>
      </c>
      <c r="E14" s="6" t="s">
        <v>115</v>
      </c>
      <c r="F14" t="s">
        <v>65</v>
      </c>
      <c r="G14" t="s">
        <v>37</v>
      </c>
      <c r="H14" t="s">
        <v>36</v>
      </c>
      <c r="I14" t="s">
        <v>38</v>
      </c>
      <c r="J14" t="s">
        <v>135</v>
      </c>
      <c r="K14">
        <v>29.2</v>
      </c>
      <c r="L14">
        <v>15</v>
      </c>
      <c r="M14">
        <f>K14-1</f>
        <v>28.2</v>
      </c>
      <c r="N14">
        <f>L14-1</f>
        <v>14</v>
      </c>
      <c r="O14">
        <v>1</v>
      </c>
      <c r="P14" s="9">
        <f t="shared" si="0"/>
        <v>416.2</v>
      </c>
      <c r="Q14" s="9">
        <f t="shared" si="1"/>
        <v>416200</v>
      </c>
    </row>
    <row r="15" spans="1:17" x14ac:dyDescent="0.25">
      <c r="A15" s="8" t="s">
        <v>64</v>
      </c>
      <c r="B15" s="7">
        <v>330</v>
      </c>
      <c r="C15" s="5" t="s">
        <v>19</v>
      </c>
      <c r="D15" s="3" t="s">
        <v>146</v>
      </c>
      <c r="E15" s="6" t="s">
        <v>115</v>
      </c>
      <c r="F15" t="s">
        <v>64</v>
      </c>
      <c r="G15" t="s">
        <v>31</v>
      </c>
      <c r="H15" t="s">
        <v>41</v>
      </c>
      <c r="I15" t="s">
        <v>42</v>
      </c>
      <c r="J15" t="s">
        <v>136</v>
      </c>
      <c r="K15">
        <v>23</v>
      </c>
      <c r="L15">
        <v>15.3</v>
      </c>
      <c r="M15">
        <f>K15-1</f>
        <v>22</v>
      </c>
      <c r="N15">
        <f>L15-1</f>
        <v>14.3</v>
      </c>
      <c r="O15">
        <v>1</v>
      </c>
      <c r="P15" s="9">
        <f t="shared" si="0"/>
        <v>333.1</v>
      </c>
      <c r="Q15" s="9">
        <f t="shared" si="1"/>
        <v>333100</v>
      </c>
    </row>
    <row r="16" spans="1:17" x14ac:dyDescent="0.25">
      <c r="A16" s="8" t="s">
        <v>63</v>
      </c>
      <c r="B16" s="7">
        <v>330</v>
      </c>
      <c r="C16" s="5" t="s">
        <v>19</v>
      </c>
      <c r="D16" s="3" t="s">
        <v>146</v>
      </c>
      <c r="E16" s="6" t="s">
        <v>115</v>
      </c>
      <c r="F16" t="s">
        <v>63</v>
      </c>
      <c r="G16" t="s">
        <v>31</v>
      </c>
      <c r="H16" t="s">
        <v>39</v>
      </c>
      <c r="I16" t="s">
        <v>40</v>
      </c>
      <c r="J16" t="s">
        <v>137</v>
      </c>
      <c r="K16">
        <v>39</v>
      </c>
      <c r="L16">
        <v>17</v>
      </c>
      <c r="M16">
        <f>K16-2</f>
        <v>37</v>
      </c>
      <c r="N16">
        <f>L16-2</f>
        <v>15</v>
      </c>
      <c r="O16">
        <f>AVERAGE(4.84,4.84,4.84,4.84)/2</f>
        <v>2.42</v>
      </c>
      <c r="P16" s="9">
        <f t="shared" si="0"/>
        <v>1472.2</v>
      </c>
      <c r="Q16" s="9">
        <f t="shared" si="1"/>
        <v>1472200</v>
      </c>
    </row>
    <row r="17" spans="1:17" hidden="1" x14ac:dyDescent="0.25">
      <c r="A17" s="8" t="s">
        <v>83</v>
      </c>
      <c r="B17" s="7">
        <v>330</v>
      </c>
      <c r="C17" s="5" t="s">
        <v>19</v>
      </c>
      <c r="D17" s="5" t="s">
        <v>25</v>
      </c>
      <c r="E17" s="6" t="s">
        <v>115</v>
      </c>
      <c r="F17" t="s">
        <v>83</v>
      </c>
      <c r="G17" t="s">
        <v>37</v>
      </c>
      <c r="H17" t="s">
        <v>84</v>
      </c>
      <c r="I17" t="s">
        <v>85</v>
      </c>
      <c r="P17" s="9" t="s">
        <v>129</v>
      </c>
      <c r="Q17" s="9" t="s">
        <v>129</v>
      </c>
    </row>
    <row r="18" spans="1:17" x14ac:dyDescent="0.25">
      <c r="A18" s="8" t="s">
        <v>67</v>
      </c>
      <c r="B18" s="7">
        <v>370</v>
      </c>
      <c r="C18" s="5" t="s">
        <v>20</v>
      </c>
      <c r="D18" s="5" t="s">
        <v>27</v>
      </c>
      <c r="E18" s="6" t="s">
        <v>117</v>
      </c>
      <c r="F18" t="s">
        <v>67</v>
      </c>
      <c r="G18" t="s">
        <v>31</v>
      </c>
      <c r="H18" t="s">
        <v>34</v>
      </c>
      <c r="I18" t="s">
        <v>35</v>
      </c>
      <c r="J18" t="s">
        <v>138</v>
      </c>
      <c r="K18">
        <v>42.1</v>
      </c>
      <c r="L18">
        <v>34.6</v>
      </c>
      <c r="M18">
        <f>K18-2</f>
        <v>40.1</v>
      </c>
      <c r="N18">
        <f>L18-2</f>
        <v>32.6</v>
      </c>
      <c r="O18">
        <v>1</v>
      </c>
      <c r="P18" s="9">
        <f>ROUND(1/6*O18*(K18*L18+(K18+M18)*(L18+N18)+M18*N18),1)</f>
        <v>1381.3</v>
      </c>
      <c r="Q18" s="9">
        <f t="shared" ref="Q18:Q19" si="2">P18*1000</f>
        <v>1381300</v>
      </c>
    </row>
    <row r="19" spans="1:17" x14ac:dyDescent="0.25">
      <c r="A19" s="8" t="s">
        <v>66</v>
      </c>
      <c r="B19" s="7">
        <v>370</v>
      </c>
      <c r="C19" s="5" t="s">
        <v>20</v>
      </c>
      <c r="D19" s="5" t="s">
        <v>27</v>
      </c>
      <c r="E19" s="6" t="s">
        <v>117</v>
      </c>
      <c r="F19" t="s">
        <v>66</v>
      </c>
      <c r="G19" t="s">
        <v>31</v>
      </c>
      <c r="H19" t="s">
        <v>32</v>
      </c>
      <c r="I19" t="s">
        <v>33</v>
      </c>
      <c r="J19" t="s">
        <v>139</v>
      </c>
      <c r="K19">
        <v>24</v>
      </c>
      <c r="L19">
        <v>22</v>
      </c>
      <c r="M19">
        <f>K19-0.95</f>
        <v>23.05</v>
      </c>
      <c r="N19">
        <f>L19-0.95</f>
        <v>21.05</v>
      </c>
      <c r="O19">
        <v>1</v>
      </c>
      <c r="P19" s="9">
        <f>ROUND(1/6*O19*(K19*L19+(K19+M19)*(L19+N19)+M19*N19),1)</f>
        <v>506.5</v>
      </c>
      <c r="Q19" s="9">
        <f t="shared" si="2"/>
        <v>506500</v>
      </c>
    </row>
    <row r="20" spans="1:17" x14ac:dyDescent="0.25">
      <c r="A20" s="8" t="s">
        <v>86</v>
      </c>
      <c r="B20" s="7">
        <v>390</v>
      </c>
      <c r="C20" s="5" t="s">
        <v>21</v>
      </c>
      <c r="D20" s="5" t="s">
        <v>24</v>
      </c>
      <c r="E20" s="6" t="s">
        <v>118</v>
      </c>
      <c r="F20" t="s">
        <v>86</v>
      </c>
      <c r="G20" t="s">
        <v>31</v>
      </c>
      <c r="H20" t="s">
        <v>87</v>
      </c>
      <c r="I20" t="s">
        <v>88</v>
      </c>
      <c r="P20" s="9" t="s">
        <v>129</v>
      </c>
      <c r="Q20" s="9" t="s">
        <v>129</v>
      </c>
    </row>
    <row r="21" spans="1:17" x14ac:dyDescent="0.25">
      <c r="A21" s="8" t="s">
        <v>91</v>
      </c>
      <c r="B21" s="7">
        <v>390</v>
      </c>
      <c r="C21" s="5" t="s">
        <v>21</v>
      </c>
      <c r="D21" s="5" t="s">
        <v>24</v>
      </c>
      <c r="E21" s="6" t="s">
        <v>118</v>
      </c>
      <c r="F21" t="s">
        <v>91</v>
      </c>
      <c r="G21" t="s">
        <v>49</v>
      </c>
      <c r="H21" t="s">
        <v>89</v>
      </c>
      <c r="I21" t="s">
        <v>90</v>
      </c>
      <c r="P21" s="9" t="s">
        <v>129</v>
      </c>
      <c r="Q21" s="9" t="s">
        <v>129</v>
      </c>
    </row>
  </sheetData>
  <sortState ref="B3:I20">
    <sortCondition ref="B3:B20"/>
  </sortState>
  <mergeCells count="1">
    <mergeCell ref="H2:I2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83a1a5-96b6-4337-8ed1-8fe0b6ede64e">
      <UserInfo>
        <DisplayName>Girard, Lianne</DisplayName>
        <AccountId>81</AccountId>
        <AccountType/>
      </UserInfo>
      <UserInfo>
        <DisplayName>Bender-NR, Randall</DisplayName>
        <AccountId>495</AccountId>
        <AccountType/>
      </UserInfo>
      <UserInfo>
        <DisplayName>Beattie, Don</DisplayName>
        <AccountId>93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2CBC9DC713B4FA9D6DFCD2FA240AD" ma:contentTypeVersion="1" ma:contentTypeDescription="Create a new document." ma:contentTypeScope="" ma:versionID="76fc8e43af811d5a54205aacb9089c72">
  <xsd:schema xmlns:xsd="http://www.w3.org/2001/XMLSchema" xmlns:xs="http://www.w3.org/2001/XMLSchema" xmlns:p="http://schemas.microsoft.com/office/2006/metadata/properties" xmlns:ns2="1783a1a5-96b6-4337-8ed1-8fe0b6ede64e" targetNamespace="http://schemas.microsoft.com/office/2006/metadata/properties" ma:root="true" ma:fieldsID="a96480b08a7af976187713e2ce9575bd" ns2:_="">
    <xsd:import namespace="1783a1a5-96b6-4337-8ed1-8fe0b6ede64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3a1a5-96b6-4337-8ed1-8fe0b6ede6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EE340-3729-40A3-B370-D692816EAEE1}">
  <ds:schemaRefs>
    <ds:schemaRef ds:uri="http://www.w3.org/XML/1998/namespace"/>
    <ds:schemaRef ds:uri="1783a1a5-96b6-4337-8ed1-8fe0b6ede64e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11C8B8-351F-4542-96F8-9AAE454EBC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0CD57-445F-4954-83A7-434DA3EDB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83a1a5-96b6-4337-8ed1-8fe0b6ede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Columns B to F vlookup table</vt:lpstr>
    </vt:vector>
  </TitlesOfParts>
  <Company>Raytheon Canada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Wyman,Will</dc:creator>
  <cp:lastModifiedBy>Wyman,Will</cp:lastModifiedBy>
  <dcterms:created xsi:type="dcterms:W3CDTF">2015-07-03T11:34:24Z</dcterms:created>
  <dcterms:modified xsi:type="dcterms:W3CDTF">2019-02-19T19:14:15Z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0x010100DCB2CBC9DC713B4FA9D6DFCD2FA240AD</vt:lpwstr>
  </property>
</Properties>
</file>